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1.xml" ContentType="application/vnd.openxmlformats-officedocument.spreadsheetml.pivotTable+xml"/>
  <Override PartName="/xl/drawings/drawing4.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int2019-sp/departments/ESN/Shared Documents/3. ENERGY INFRASTRUCTURE/3.5 Other/3.5.36 Study on scenarios/3. Project/7. For publication/"/>
    </mc:Choice>
  </mc:AlternateContent>
  <xr:revisionPtr revIDLastSave="0" documentId="13_ncr:1_{6545B176-6233-4738-9479-6FC95EB9859E}" xr6:coauthVersionLast="47" xr6:coauthVersionMax="47" xr10:uidLastSave="{00000000-0000-0000-0000-000000000000}"/>
  <bookViews>
    <workbookView xWindow="-120" yWindow="-120" windowWidth="38640" windowHeight="21240" xr2:uid="{791A9E81-89A8-482C-BD1E-8C4AEF5E43BA}"/>
  </bookViews>
  <sheets>
    <sheet name="ReadMe" sheetId="2" r:id="rId1"/>
    <sheet name="Ons. wind DE capacity factor" sheetId="5" r:id="rId2"/>
    <sheet name="Commodity price - natural gas" sheetId="4" r:id="rId3"/>
    <sheet name="CAPEX H2 transmissions" sheetId="1" r:id="rId4"/>
    <sheet name="Electrolysers efficiency" sheetId="7" r:id="rId5"/>
  </sheets>
  <definedNames>
    <definedName name="_xlnm._FilterDatabase" localSheetId="3" hidden="1">'CAPEX H2 transmissions'!$A$4:$AA$43</definedName>
    <definedName name="_xlnm._FilterDatabase" localSheetId="2" hidden="1">'Commodity price - natural gas'!$A$4:$X$51</definedName>
    <definedName name="_xlnm._FilterDatabase" localSheetId="4" hidden="1">'Electrolysers efficiency'!$A$4:$V$36</definedName>
    <definedName name="_xlnm._FilterDatabase" localSheetId="1" hidden="1">'Ons. wind DE capacity factor'!$A$4:$W$29</definedName>
  </definedNames>
  <calcPr calcId="191028"/>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7" l="1"/>
  <c r="V10" i="7"/>
  <c r="V11" i="7"/>
  <c r="V12" i="7"/>
  <c r="V13" i="7"/>
  <c r="V14" i="7"/>
  <c r="V15" i="7"/>
  <c r="V16" i="7"/>
  <c r="V17" i="7"/>
  <c r="V18" i="7"/>
  <c r="V19" i="7"/>
  <c r="V20" i="7"/>
  <c r="V21" i="7"/>
  <c r="V22" i="7"/>
  <c r="V23" i="7"/>
  <c r="V24" i="7"/>
  <c r="V25" i="7"/>
  <c r="V26" i="7"/>
  <c r="V27" i="7"/>
  <c r="V28" i="7"/>
  <c r="V29" i="7"/>
  <c r="V30" i="7"/>
  <c r="V31" i="7"/>
  <c r="V32" i="7"/>
  <c r="V33" i="7"/>
  <c r="V34" i="7"/>
  <c r="V35" i="7"/>
  <c r="V36" i="7"/>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H13" i="1"/>
  <c r="X18" i="4"/>
  <c r="X19" i="4"/>
  <c r="X20" i="4"/>
  <c r="X21" i="4"/>
  <c r="X22" i="4"/>
  <c r="X23" i="4"/>
  <c r="X24" i="4"/>
  <c r="X25" i="4"/>
  <c r="X26" i="4"/>
  <c r="X27" i="4"/>
  <c r="X28" i="4"/>
  <c r="X29" i="4"/>
  <c r="X30" i="4"/>
  <c r="X31" i="4"/>
  <c r="X32" i="4"/>
  <c r="X33" i="4"/>
  <c r="X34" i="4"/>
  <c r="X35" i="4"/>
  <c r="X36" i="4"/>
  <c r="X37" i="4"/>
  <c r="X38" i="4"/>
  <c r="X39" i="4"/>
  <c r="X40" i="4"/>
  <c r="X41" i="4"/>
  <c r="X42" i="4"/>
  <c r="X43" i="4"/>
  <c r="X44" i="4"/>
  <c r="X45" i="4"/>
  <c r="X46" i="4"/>
  <c r="X47" i="4"/>
  <c r="X48" i="4"/>
  <c r="X49" i="4"/>
  <c r="X50" i="4"/>
  <c r="X51" i="4"/>
  <c r="X17" i="4"/>
  <c r="W11" i="5"/>
  <c r="W23" i="5"/>
  <c r="W19" i="5"/>
  <c r="W12" i="5"/>
  <c r="W13" i="5"/>
  <c r="W14" i="5"/>
  <c r="W15" i="5"/>
  <c r="W16" i="5"/>
  <c r="W17" i="5"/>
  <c r="W18" i="5"/>
  <c r="W20" i="5"/>
  <c r="W21" i="5"/>
  <c r="W22" i="5"/>
  <c r="W24" i="5"/>
  <c r="W25" i="5"/>
  <c r="W26" i="5"/>
  <c r="W27" i="5"/>
  <c r="W28" i="5"/>
  <c r="E6" i="1"/>
  <c r="E7" i="1" s="1"/>
  <c r="E8" i="1" s="1"/>
  <c r="E9" i="1" s="1"/>
  <c r="E10" i="1" s="1"/>
  <c r="E11" i="1" s="1"/>
  <c r="E12" i="1"/>
  <c r="E13" i="1"/>
  <c r="E14" i="1" s="1"/>
  <c r="E15" i="1" s="1"/>
  <c r="E16" i="1" s="1"/>
  <c r="E17" i="1" s="1"/>
  <c r="E18" i="1" s="1"/>
  <c r="E19" i="1" s="1"/>
  <c r="E20" i="1" s="1"/>
  <c r="E21" i="1" s="1"/>
  <c r="E22" i="1" s="1"/>
  <c r="E23" i="1"/>
  <c r="E24" i="1" s="1"/>
  <c r="E25" i="1" s="1"/>
  <c r="E26" i="1" s="1"/>
  <c r="E27" i="1" s="1"/>
  <c r="E28" i="1" s="1"/>
  <c r="E29" i="1" s="1"/>
  <c r="E30" i="1" s="1"/>
  <c r="E31" i="1" s="1"/>
  <c r="E32" i="1" s="1"/>
  <c r="E33" i="1" s="1"/>
  <c r="E34" i="1" s="1"/>
  <c r="E35" i="1" s="1"/>
  <c r="E36" i="1"/>
  <c r="E37" i="1"/>
  <c r="E38" i="1"/>
  <c r="E39" i="1"/>
  <c r="E40" i="1"/>
  <c r="D13" i="1"/>
  <c r="D14" i="1" s="1"/>
  <c r="D15" i="1" s="1"/>
  <c r="D16" i="1" s="1"/>
  <c r="D17" i="1" s="1"/>
  <c r="D18" i="1" s="1"/>
  <c r="D19" i="1" s="1"/>
  <c r="D20" i="1" s="1"/>
  <c r="D21" i="1" s="1"/>
  <c r="D22" i="1" s="1"/>
  <c r="D23" i="1" s="1"/>
  <c r="D24" i="1" s="1"/>
  <c r="D25" i="1" s="1"/>
  <c r="D26" i="1" s="1"/>
  <c r="D27" i="1" s="1"/>
  <c r="D28" i="1" s="1"/>
  <c r="D29" i="1"/>
  <c r="D30" i="1" s="1"/>
  <c r="D31" i="1" s="1"/>
  <c r="D32" i="1"/>
  <c r="D33" i="1" s="1"/>
  <c r="D34" i="1" s="1"/>
  <c r="D35" i="1" s="1"/>
  <c r="D36" i="1"/>
  <c r="D37" i="1" s="1"/>
  <c r="D38" i="1"/>
  <c r="D39" i="1" s="1"/>
  <c r="D40" i="1"/>
  <c r="E5" i="1"/>
  <c r="F6" i="1"/>
  <c r="F7" i="1"/>
  <c r="F8" i="1"/>
  <c r="F9" i="1"/>
  <c r="F10" i="1"/>
  <c r="F11" i="1"/>
  <c r="F12" i="1"/>
  <c r="F23" i="1"/>
  <c r="F24" i="1"/>
  <c r="F25" i="1"/>
  <c r="F26" i="1"/>
  <c r="F27" i="1"/>
  <c r="F28" i="1"/>
  <c r="F29" i="1"/>
  <c r="F30" i="1"/>
  <c r="F31" i="1"/>
  <c r="F32" i="1"/>
  <c r="F33" i="1"/>
  <c r="F34" i="1"/>
  <c r="F35" i="1"/>
  <c r="F36" i="1"/>
  <c r="F37" i="1"/>
  <c r="F13" i="1"/>
  <c r="F14" i="1"/>
  <c r="F15" i="1"/>
  <c r="F16" i="1"/>
  <c r="F17" i="1"/>
  <c r="F18" i="1"/>
  <c r="F19" i="1"/>
  <c r="F20" i="1"/>
  <c r="F21" i="1"/>
  <c r="F22" i="1"/>
  <c r="F38" i="1"/>
  <c r="F39" i="1"/>
  <c r="F40" i="1"/>
  <c r="H22" i="1"/>
  <c r="H21" i="1"/>
  <c r="H20" i="1"/>
  <c r="H19" i="1"/>
  <c r="H18" i="1"/>
  <c r="H17" i="1"/>
  <c r="H16" i="1"/>
  <c r="H15" i="1"/>
  <c r="H14" i="1"/>
  <c r="H11" i="1"/>
  <c r="H10" i="1"/>
  <c r="H9" i="1"/>
  <c r="H8" i="1"/>
  <c r="H7" i="1"/>
  <c r="H6" i="1"/>
  <c r="F39" i="4" l="1"/>
  <c r="F38" i="4"/>
  <c r="F37" i="4"/>
  <c r="F36" i="4"/>
  <c r="F35" i="4"/>
  <c r="F40" i="4"/>
  <c r="G40" i="1"/>
  <c r="G32" i="1"/>
  <c r="G33" i="1"/>
  <c r="G34" i="1"/>
  <c r="G35" i="1"/>
  <c r="G23" i="1"/>
  <c r="G24" i="1"/>
  <c r="G25" i="1"/>
  <c r="G26" i="1"/>
  <c r="G27" i="1"/>
  <c r="G28" i="1"/>
  <c r="G29" i="1"/>
  <c r="G30" i="1"/>
  <c r="G31" i="1"/>
  <c r="G10" i="1"/>
  <c r="G11" i="1"/>
  <c r="G38" i="1"/>
  <c r="G39" i="1"/>
  <c r="D5" i="1"/>
  <c r="D6" i="1" s="1"/>
  <c r="D7" i="1" s="1"/>
  <c r="D8" i="1" s="1"/>
  <c r="D9" i="1" s="1"/>
  <c r="D10" i="1" s="1"/>
  <c r="D11" i="1" s="1"/>
  <c r="D12" i="1" s="1"/>
  <c r="D8" i="7"/>
  <c r="E8" i="7" s="1"/>
  <c r="D9" i="7"/>
  <c r="E9" i="7" s="1"/>
  <c r="D10" i="7"/>
  <c r="E10" i="7" s="1"/>
  <c r="D11" i="7"/>
  <c r="E11" i="7" s="1"/>
  <c r="D12" i="7"/>
  <c r="E12" i="7" s="1"/>
  <c r="D13" i="7"/>
  <c r="E13" i="7" s="1"/>
  <c r="D14" i="7"/>
  <c r="E14" i="7" s="1"/>
  <c r="D15" i="7"/>
  <c r="D16" i="7"/>
  <c r="D17" i="7"/>
  <c r="E17" i="7" s="1"/>
  <c r="D18" i="7"/>
  <c r="E18" i="7" s="1"/>
  <c r="D19" i="7"/>
  <c r="E19" i="7" s="1"/>
  <c r="D20" i="7"/>
  <c r="E20" i="7" s="1"/>
  <c r="D21" i="7"/>
  <c r="E21" i="7" s="1"/>
  <c r="D22" i="7"/>
  <c r="E22" i="7" s="1"/>
  <c r="D23" i="7"/>
  <c r="E23" i="7" s="1"/>
  <c r="D24" i="7"/>
  <c r="E24" i="7" s="1"/>
  <c r="D25" i="7"/>
  <c r="D26" i="7"/>
  <c r="D27" i="7"/>
  <c r="E27" i="7" s="1"/>
  <c r="D28" i="7"/>
  <c r="E28" i="7" s="1"/>
  <c r="D29" i="7"/>
  <c r="E29" i="7" s="1"/>
  <c r="D30" i="7"/>
  <c r="E30" i="7" s="1"/>
  <c r="D31" i="7"/>
  <c r="E31" i="7" s="1"/>
  <c r="D32" i="7"/>
  <c r="E32" i="7" s="1"/>
  <c r="D33" i="7"/>
  <c r="E33" i="7" s="1"/>
  <c r="D34" i="7"/>
  <c r="E34" i="7" s="1"/>
  <c r="D35" i="7"/>
  <c r="E35" i="7" s="1"/>
  <c r="D36" i="7"/>
  <c r="E36" i="7" s="1"/>
  <c r="D7" i="7"/>
  <c r="E7" i="7" s="1"/>
  <c r="D6" i="7"/>
  <c r="E6" i="7" s="1"/>
  <c r="E15" i="7"/>
  <c r="E16" i="7"/>
  <c r="E25" i="7"/>
  <c r="E26" i="7"/>
  <c r="D5" i="7"/>
  <c r="E5" i="7" s="1"/>
  <c r="F17" i="5"/>
  <c r="F16" i="5"/>
  <c r="D12" i="5"/>
  <c r="E12" i="5" s="1"/>
  <c r="G12" i="1"/>
  <c r="G36" i="1"/>
  <c r="G37" i="1"/>
  <c r="G13" i="1"/>
  <c r="G14" i="1"/>
  <c r="G15" i="1"/>
  <c r="G16" i="1"/>
  <c r="G17" i="1"/>
  <c r="G18" i="1"/>
  <c r="G19" i="1"/>
  <c r="G20" i="1"/>
  <c r="G21" i="1"/>
  <c r="G22" i="1"/>
  <c r="G6" i="1"/>
  <c r="G7" i="1"/>
  <c r="G8" i="1"/>
  <c r="G9" i="1"/>
  <c r="F5" i="1"/>
  <c r="G5" i="1" s="1"/>
  <c r="D6" i="4" l="1"/>
  <c r="E6" i="4" s="1"/>
  <c r="D7" i="4"/>
  <c r="E7" i="4" s="1"/>
  <c r="D8" i="4"/>
  <c r="E8" i="4" s="1"/>
  <c r="D9" i="4"/>
  <c r="E9" i="4" s="1"/>
  <c r="D10" i="4"/>
  <c r="E10" i="4" s="1"/>
  <c r="D11" i="4"/>
  <c r="E11" i="4" s="1"/>
  <c r="D12" i="4"/>
  <c r="E12" i="4" s="1"/>
  <c r="D13" i="4"/>
  <c r="E13" i="4" s="1"/>
  <c r="D14" i="4"/>
  <c r="E14" i="4" s="1"/>
  <c r="D15" i="4"/>
  <c r="E15" i="4" s="1"/>
  <c r="D16" i="4"/>
  <c r="E16" i="4" s="1"/>
  <c r="D17" i="4"/>
  <c r="E17" i="4" s="1"/>
  <c r="D18" i="4"/>
  <c r="E18" i="4" s="1"/>
  <c r="D19" i="4"/>
  <c r="E19" i="4" s="1"/>
  <c r="D20" i="4"/>
  <c r="E20" i="4" s="1"/>
  <c r="D21" i="4"/>
  <c r="E21" i="4" s="1"/>
  <c r="D22" i="4"/>
  <c r="E22" i="4" s="1"/>
  <c r="D23" i="4"/>
  <c r="E23" i="4" s="1"/>
  <c r="D24" i="4"/>
  <c r="E24" i="4" s="1"/>
  <c r="D25" i="4"/>
  <c r="E25" i="4" s="1"/>
  <c r="D26" i="4"/>
  <c r="E26" i="4" s="1"/>
  <c r="D27" i="4"/>
  <c r="E27" i="4" s="1"/>
  <c r="D28" i="4"/>
  <c r="E28" i="4" s="1"/>
  <c r="D29" i="4"/>
  <c r="E29" i="4" s="1"/>
  <c r="D30" i="4"/>
  <c r="E30" i="4" s="1"/>
  <c r="D31" i="4"/>
  <c r="E31" i="4" s="1"/>
  <c r="D32" i="4"/>
  <c r="E32" i="4" s="1"/>
  <c r="D33" i="4"/>
  <c r="E33" i="4" s="1"/>
  <c r="D34" i="4"/>
  <c r="E34" i="4" s="1"/>
  <c r="D35" i="4"/>
  <c r="E35" i="4" s="1"/>
  <c r="D36" i="4"/>
  <c r="E36" i="4" s="1"/>
  <c r="D37" i="4"/>
  <c r="E37" i="4" s="1"/>
  <c r="D38" i="4"/>
  <c r="E38" i="4" s="1"/>
  <c r="D39" i="4"/>
  <c r="E39" i="4" s="1"/>
  <c r="D40" i="4"/>
  <c r="E40" i="4" s="1"/>
  <c r="D41" i="4"/>
  <c r="E41" i="4" s="1"/>
  <c r="D42" i="4"/>
  <c r="E42" i="4" s="1"/>
  <c r="D43" i="4"/>
  <c r="E43" i="4" s="1"/>
  <c r="D44" i="4"/>
  <c r="E44" i="4" s="1"/>
  <c r="D45" i="4"/>
  <c r="E45" i="4" s="1"/>
  <c r="D46" i="4"/>
  <c r="E46" i="4" s="1"/>
  <c r="D47" i="4"/>
  <c r="E47" i="4" s="1"/>
  <c r="D48" i="4"/>
  <c r="E48" i="4" s="1"/>
  <c r="D49" i="4"/>
  <c r="E49" i="4" s="1"/>
  <c r="D50" i="4"/>
  <c r="E50" i="4" s="1"/>
  <c r="D51" i="4"/>
  <c r="E51" i="4" s="1"/>
  <c r="D5" i="4"/>
  <c r="E5" i="4" s="1"/>
  <c r="D5" i="5"/>
  <c r="E5" i="5" s="1"/>
  <c r="D6" i="5"/>
  <c r="E6" i="5" s="1"/>
  <c r="D7" i="5"/>
  <c r="E7" i="5" s="1"/>
  <c r="D8" i="5"/>
  <c r="E8" i="5" s="1"/>
  <c r="D9" i="5"/>
  <c r="E9" i="5" s="1"/>
  <c r="D10" i="5"/>
  <c r="E10" i="5" s="1"/>
  <c r="D11" i="5"/>
  <c r="E11" i="5" s="1"/>
  <c r="D13" i="5"/>
  <c r="E13" i="5" s="1"/>
  <c r="D14" i="5" l="1"/>
  <c r="E14" i="5" s="1"/>
  <c r="D15" i="5"/>
  <c r="E15" i="5" s="1"/>
  <c r="D16" i="5"/>
  <c r="E16" i="5" s="1"/>
  <c r="D17" i="5"/>
  <c r="E17" i="5" s="1"/>
  <c r="D18" i="5"/>
  <c r="E18" i="5" s="1"/>
  <c r="D19" i="5"/>
  <c r="E19" i="5" s="1"/>
  <c r="D20" i="5"/>
  <c r="E20" i="5" s="1"/>
  <c r="D21" i="5"/>
  <c r="E21" i="5" s="1"/>
  <c r="D22" i="5"/>
  <c r="E22" i="5" s="1"/>
  <c r="D23" i="5"/>
  <c r="E23" i="5" s="1"/>
  <c r="D24" i="5"/>
  <c r="E24" i="5" s="1"/>
  <c r="D25" i="5"/>
  <c r="E25" i="5" s="1"/>
  <c r="D26" i="5"/>
  <c r="E26" i="5" s="1"/>
  <c r="D27" i="5"/>
  <c r="E27" i="5" s="1"/>
  <c r="D28" i="5"/>
  <c r="E28" i="5" s="1"/>
  <c r="F29" i="7" l="1"/>
</calcChain>
</file>

<file path=xl/sharedStrings.xml><?xml version="1.0" encoding="utf-8"?>
<sst xmlns="http://schemas.openxmlformats.org/spreadsheetml/2006/main" count="1552" uniqueCount="430">
  <si>
    <t>Name of the project</t>
  </si>
  <si>
    <t>Study to support the development of scenarios for EU-wide infrastructure planning and adequacy assessments for the Agency</t>
  </si>
  <si>
    <t>Client</t>
  </si>
  <si>
    <t>ACER</t>
  </si>
  <si>
    <t>Authors</t>
  </si>
  <si>
    <t>Artelys -  Etienne Gontharet, Paul Brière</t>
  </si>
  <si>
    <t>Version of the file</t>
  </si>
  <si>
    <t>Final version</t>
  </si>
  <si>
    <t>Delivery date</t>
  </si>
  <si>
    <t>This workbook is an illustrative application of the proposed methodology to filter and validate scenario inputs (Task 4). 
For each parameter, different sources are selected. The quality of the sourced values is then assessed, and the sources are compared with each other. This analysis results in a single value being selected for each parameter. 
The methodology is further described in the project report. 
The methodology has been applied to the four following parameters:</t>
  </si>
  <si>
    <t>Onshore wind in Germany - capacity factor</t>
  </si>
  <si>
    <t>Commodity price - natural gas</t>
  </si>
  <si>
    <t>CAPEX of hydrogen transmissions</t>
  </si>
  <si>
    <t>Electrolysis efficiency</t>
  </si>
  <si>
    <t>Source - Entity</t>
  </si>
  <si>
    <t>Source - Short description
[displayed on the graph]</t>
  </si>
  <si>
    <t>Graph - level 1</t>
  </si>
  <si>
    <t>Graph - level 2</t>
  </si>
  <si>
    <t>Value</t>
  </si>
  <si>
    <t>Further description of the source</t>
  </si>
  <si>
    <t>Link</t>
  </si>
  <si>
    <t>Onshore or offshore?</t>
  </si>
  <si>
    <t>Time horizon of the value</t>
  </si>
  <si>
    <t>Geographical scope</t>
  </si>
  <si>
    <t>Year of publication</t>
  </si>
  <si>
    <t>Public source</t>
  </si>
  <si>
    <t>Justification of the relevance grade</t>
  </si>
  <si>
    <t>Value within the range of reference</t>
  </si>
  <si>
    <t>Final grade (max 12)</t>
  </si>
  <si>
    <t>Copernicus</t>
  </si>
  <si>
    <t>PECD 3.1 (TYNDP 2024) - average of climate years 1982 to 2019</t>
  </si>
  <si>
    <r>
      <t xml:space="preserve">Timeseries used in TYNDP 2024 NT+ 2030.
The yearly capacity factors range from 22% to 28% with an average of 24,96%.
</t>
    </r>
    <r>
      <rPr>
        <i/>
        <u/>
        <sz val="11"/>
        <color theme="0" tint="-0.499984740745262"/>
        <rFont val="Aptos Narrow"/>
        <family val="2"/>
        <scheme val="minor"/>
      </rPr>
      <t>Artelys' treatment</t>
    </r>
    <r>
      <rPr>
        <i/>
        <sz val="11"/>
        <color theme="0" tint="-0.499984740745262"/>
        <rFont val="Aptos Narrow"/>
        <family val="2"/>
        <scheme val="minor"/>
      </rPr>
      <t>: average capacity factor on different climate years computed.</t>
    </r>
  </si>
  <si>
    <t>https://2024.entsos-tyndp-scenarios.eu/download/</t>
  </si>
  <si>
    <t>Onshore</t>
  </si>
  <si>
    <t>2030-2040</t>
  </si>
  <si>
    <t>Germany</t>
  </si>
  <si>
    <t>Yes</t>
  </si>
  <si>
    <t>PECD 3.1 (TYNDP 2024) - climate years 2009</t>
  </si>
  <si>
    <r>
      <t xml:space="preserve">Timeseries used in TYNDP 2024 NT+ 2030.
</t>
    </r>
    <r>
      <rPr>
        <i/>
        <u/>
        <sz val="11"/>
        <color theme="0" tint="-0.499984740745262"/>
        <rFont val="Aptos Narrow"/>
        <family val="2"/>
        <scheme val="minor"/>
      </rPr>
      <t>Artelys' treatment</t>
    </r>
    <r>
      <rPr>
        <i/>
        <sz val="11"/>
        <color theme="0" tint="-0.499984740745262"/>
        <rFont val="Aptos Narrow"/>
        <family val="2"/>
        <scheme val="minor"/>
      </rPr>
      <t>: average capacity factor on the 8760 hours of the  climate year 2009 computed.</t>
    </r>
  </si>
  <si>
    <t>Capacity factor from only one climatic year</t>
  </si>
  <si>
    <t>PECD 4 (ERAA 2024)</t>
  </si>
  <si>
    <r>
      <t xml:space="preserve">Timeseries used in ERAA 2024.
</t>
    </r>
    <r>
      <rPr>
        <i/>
        <u/>
        <sz val="11"/>
        <color theme="0" tint="-0.499984740745262"/>
        <rFont val="Aptos Narrow"/>
        <family val="2"/>
        <scheme val="minor"/>
      </rPr>
      <t>Artelys' treatment</t>
    </r>
    <r>
      <rPr>
        <i/>
        <sz val="11"/>
        <color theme="0" tint="-0.499984740745262"/>
        <rFont val="Aptos Narrow"/>
        <family val="2"/>
        <scheme val="minor"/>
      </rPr>
      <t>: average capacity factor on the 8760 hours of the 36 climate years.</t>
    </r>
  </si>
  <si>
    <t>https://www.entsoe.eu/eraa/2024/downloads/</t>
  </si>
  <si>
    <t>2035</t>
  </si>
  <si>
    <t>2030</t>
  </si>
  <si>
    <t>2028</t>
  </si>
  <si>
    <t>2026</t>
  </si>
  <si>
    <t>German Federal Ministry For Economic Affaires</t>
  </si>
  <si>
    <t>German NECP</t>
  </si>
  <si>
    <t>https://commission.europa.eu/publications/germany-final-updated-necp-2021-2030-submitted-2024_en</t>
  </si>
  <si>
    <t>Production</t>
  </si>
  <si>
    <t>EC Impact Assessment (2020)</t>
  </si>
  <si>
    <t>Progress on competitiveness of clean energy technologies 2 &amp; 3 - Wind Power</t>
  </si>
  <si>
    <t>https://energy.ec.europa.eu/system/files/2021-10/swd2021_307_en_autre_document_travail_service_part2_v2.pdf</t>
  </si>
  <si>
    <t>Not specified</t>
  </si>
  <si>
    <t>Europe</t>
  </si>
  <si>
    <t>Geographical scope is too large</t>
  </si>
  <si>
    <t>ENTSO-E</t>
  </si>
  <si>
    <r>
      <t xml:space="preserve">Data downloaded in May 2025
</t>
    </r>
    <r>
      <rPr>
        <u/>
        <sz val="11"/>
        <color theme="1"/>
        <rFont val="Aptos Narrow"/>
        <family val="2"/>
        <scheme val="minor"/>
      </rPr>
      <t>Artelys' treatment</t>
    </r>
    <r>
      <rPr>
        <sz val="11"/>
        <color theme="1"/>
        <rFont val="Aptos Narrow"/>
        <family val="2"/>
        <scheme val="minor"/>
      </rPr>
      <t>: mean of historical capacity factors values in Germany, from 2020 to 2024. Calculated based on the values of Net generation capacities (at the end of each year) and the monthly domestic values of electricity generation from onshore wind.</t>
    </r>
  </si>
  <si>
    <t>https://www.entsoe.eu/data/power-stats/</t>
  </si>
  <si>
    <t>2020-2024</t>
  </si>
  <si>
    <t>Historical values</t>
  </si>
  <si>
    <t>Statistical Factsheet 2024</t>
  </si>
  <si>
    <r>
      <rPr>
        <u/>
        <sz val="11"/>
        <color theme="1"/>
        <rFont val="Aptos Narrow"/>
        <family val="2"/>
        <scheme val="minor"/>
      </rPr>
      <t>Artelys' treatment:</t>
    </r>
    <r>
      <rPr>
        <sz val="11"/>
        <color theme="1"/>
        <rFont val="Aptos Narrow"/>
        <family val="2"/>
        <scheme val="minor"/>
      </rPr>
      <t xml:space="preserve"> Aggregated generation from onshore wind (111.8 TWh) in 2024 divided by (8760 hours * net onshore wind generation capacity (59 841 MW))</t>
    </r>
  </si>
  <si>
    <t>Historical value from only one year</t>
  </si>
  <si>
    <t>Deutsche WindGuard</t>
  </si>
  <si>
    <t>Status des Windenergieausbaus an Land in Deutschland, Jahr 2024</t>
  </si>
  <si>
    <r>
      <t xml:space="preserve">Deutsche WindGuard is an engineering consultancy focusing on wind energy. 
2024 report on onshore and offshore wind energy in Germany, for the German Wind Energy Association (BWE)
</t>
    </r>
    <r>
      <rPr>
        <u/>
        <sz val="11"/>
        <color theme="1"/>
        <rFont val="Aptos Narrow"/>
        <family val="2"/>
        <scheme val="minor"/>
      </rPr>
      <t>Artelys' treatment</t>
    </r>
    <r>
      <rPr>
        <sz val="11"/>
        <color theme="1"/>
        <rFont val="Aptos Narrow"/>
        <family val="2"/>
        <scheme val="minor"/>
      </rPr>
      <t>: annual generation (112 TWh) divided by (installed capacity (63,5 GW) * 8760 hours/year)</t>
    </r>
  </si>
  <si>
    <t>The data comes from Bundesnetzagentur.</t>
  </si>
  <si>
    <t>https://www.windguard.de/jahr-2024.html?file=files/cto_layout/img/unternehmen/windenergiestatistik/2024/Jahr/Status%20des%20Windenergieausbaus%20an%20Land_Jahr%202024.pdf</t>
  </si>
  <si>
    <t>No</t>
  </si>
  <si>
    <t>Report: full load hours of on-land wind turbines - development, influences, impacts</t>
  </si>
  <si>
    <t>lower bound</t>
  </si>
  <si>
    <t>https://www.windguard.de/veroeffentlichungen.html?file=files/cto_layout/img/unternehmen/veroeffentlichungen/2020/Volllaststunden%20von%20Windenergieanlagen%20an%20Land%202020.pdf</t>
  </si>
  <si>
    <t>New built in 2030</t>
  </si>
  <si>
    <t>Publication from 2020 (a little outdated)</t>
  </si>
  <si>
    <t>higher bound</t>
  </si>
  <si>
    <t>Bundesnetzagentur</t>
  </si>
  <si>
    <t>Publication on 2024 electricity market data</t>
  </si>
  <si>
    <r>
      <rPr>
        <u/>
        <sz val="11"/>
        <color theme="1"/>
        <rFont val="Aptos Narrow"/>
        <family val="2"/>
        <scheme val="minor"/>
      </rPr>
      <t>Artelys' treatment:</t>
    </r>
    <r>
      <rPr>
        <sz val="11"/>
        <color theme="1"/>
        <rFont val="Aptos Narrow"/>
        <family val="2"/>
        <scheme val="minor"/>
      </rPr>
      <t xml:space="preserve"> Annual generation volume of 111.9 TWh in 2024 from onshore wind, divided by (the capacity of 63.5 GW in 2024, * 8670 hours).</t>
    </r>
  </si>
  <si>
    <t>https://www.bundesnetzagentur.de/SharedDocs/Pressemitteilungen/EN/2025/20250103_SMARD.html</t>
  </si>
  <si>
    <t>JRC</t>
  </si>
  <si>
    <t>ENSPRESO 2</t>
  </si>
  <si>
    <t>not public</t>
  </si>
  <si>
    <t xml:space="preserve">	Source report: ELSNER, P., COLLAER, J. and UIHLEIN, A., The Onshore Wind Potential of the EU and Neighbouring Countries, Publications Office of the European Union, Luxembourg, 2025, https://data.europa.eu/doi/10.2760/0396389, JRC139999.
However, the data could not be publicly found  in an Excel format (unlike ENSRPESO1) at the time this report was prepared (June 2025).</t>
  </si>
  <si>
    <t>https://data.europa.eu/doi/10.2760/0396389</t>
  </si>
  <si>
    <t>ENSPRESO 1</t>
  </si>
  <si>
    <t>Artelys' estimate of the upper bound</t>
  </si>
  <si>
    <t>https://data.jrc.ec.europa.eu/dataset/6d0774ec-4fe5-4ca3-8564-626f4927744e</t>
  </si>
  <si>
    <t>2022 Statistics and the outlook for 2023-2027</t>
  </si>
  <si>
    <t>Outlook for 2023-2027, page 48</t>
  </si>
  <si>
    <t>https://www.connaissancedesenergies.org/sites/connaissancedesenergies.org/files/pdf-actualites/WindEurope-report-wind-energy-in-europe-2022.pdf</t>
  </si>
  <si>
    <t>Based on EC Impact Assessment (2020) as cited by WindEurope – 27%</t>
  </si>
  <si>
    <t>2023 Statistics and the outlook for 2024-2030</t>
  </si>
  <si>
    <t>Outlook for 2024-2030</t>
  </si>
  <si>
    <t>https://www.windindustry-in-germany.com/f/cb17/0/65df28d94500292f801a6f63/WindEuropeWindenergyinEurope2023.pdf</t>
  </si>
  <si>
    <t>New built in 2023</t>
  </si>
  <si>
    <t xml:space="preserve"> France renouvelables</t>
  </si>
  <si>
    <t>Wind Observatory 2024</t>
  </si>
  <si>
    <t>Page 95
France renouvelables is the French association for renewable energy.</t>
  </si>
  <si>
    <t>https://www.france-renouvelables.fr/wp-content/uploads/2024/11/ObservatoireEolien-ENG-prefinal.pdf</t>
  </si>
  <si>
    <t> Stefan Pfenninger (TU Delft) and Iain Staffell (Imperial College London)</t>
  </si>
  <si>
    <t>Renewables.ninja</t>
  </si>
  <si>
    <r>
      <rPr>
        <u/>
        <sz val="11"/>
        <color theme="1"/>
        <rFont val="Aptos Narrow"/>
        <family val="2"/>
        <scheme val="minor"/>
      </rPr>
      <t>Artelys' treatment</t>
    </r>
    <r>
      <rPr>
        <sz val="11"/>
        <color theme="1"/>
        <rFont val="Aptos Narrow"/>
        <family val="2"/>
        <scheme val="minor"/>
      </rPr>
      <t>: Mean value of onshore wind's capacity factor in Germany from 2009 to 2019</t>
    </r>
  </si>
  <si>
    <t>The data is modelled based on MERRA-2, simulating the present-day fleet of wind farms, the near-term future and long-term future fleets, as described in in the following paper:
Based on methodology of Staffell, Iain and Pfenninger, Stefan (2016). Using Bias-Corrected Reanalysis to Simulate Current and Future Wind Power Output. Energy 114, pp. 1224-1239. doi: 10.1016/j.energy.2016.08.068</t>
  </si>
  <si>
    <t>https://www.renewables.ninja/</t>
  </si>
  <si>
    <t>2009-2019</t>
  </si>
  <si>
    <t>NZZ</t>
  </si>
  <si>
    <t>Press article: Windkraft in Deutschland: Grosse Versprechen, kleine Erträge (2022)</t>
  </si>
  <si>
    <t>Neue Zürcher Zeitung (NZZ) is a Swiss newspaper
NB: The NZZ adds comments on the increase of collision rate for birds of prey and migratory birds as rotor diameters increase.</t>
  </si>
  <si>
    <t>The NZZ audited the capacity factor of 18,000 onshore wind turbines, over 28,000 in total. They used the model of renewable.ninja to estimate the capacity factors.</t>
  </si>
  <si>
    <t>https://www.nzz.ch/visuals/windkraft-in-deutschland-grosse-versprechen-kleine-ertraege-ld.1710681</t>
  </si>
  <si>
    <t>RTE</t>
  </si>
  <si>
    <t>Electricity analysis and data, Annual capacity factor</t>
  </si>
  <si>
    <t>RTE is the French TSO</t>
  </si>
  <si>
    <t>https://analysesetdonnees.rte-france.com/en/generation/wind</t>
  </si>
  <si>
    <t>France</t>
  </si>
  <si>
    <t>Historical value and wrong geographical scope</t>
  </si>
  <si>
    <t xml:space="preserve"> </t>
  </si>
  <si>
    <t>Source-Entity</t>
  </si>
  <si>
    <t>Value (€/MWh LHV)</t>
  </si>
  <si>
    <t>Value (unit of origin)</t>
  </si>
  <si>
    <t>LHV / HHV (of the source)</t>
  </si>
  <si>
    <t>Type of gas</t>
  </si>
  <si>
    <t>Type of gas 2</t>
  </si>
  <si>
    <t>Time horizon</t>
  </si>
  <si>
    <t>TYNDP 2024, Scenarios methodology report</t>
  </si>
  <si>
    <t>Scenario NT+ - gas blend</t>
  </si>
  <si>
    <t>Table 7, page 32</t>
  </si>
  <si>
    <t xml:space="preserve">The methane prices are calculated
based on the composition of Natural gas, biomethane and
synthetic methane in each scenario. </t>
  </si>
  <si>
    <t>https://2024.entsos-tyndp-scenarios.eu/wp-content/uploads/2024/05/TYNDP_2024_Scenarios_Methodology_Report_240522.pdf</t>
  </si>
  <si>
    <t>7,5 €/GJ</t>
  </si>
  <si>
    <t>Gas blend</t>
  </si>
  <si>
    <t>9 €/GJ</t>
  </si>
  <si>
    <t>Scenario DE - gas blend</t>
  </si>
  <si>
    <t>10,9 €/GJ</t>
  </si>
  <si>
    <t>17,9 €/GJ</t>
  </si>
  <si>
    <t>Scenario GA - gas blend</t>
  </si>
  <si>
    <t>9,8 €/GJ</t>
  </si>
  <si>
    <t>15,8 €/GJ</t>
  </si>
  <si>
    <t>All scenarios - natural gas</t>
  </si>
  <si>
    <t>Source: IEA 2022 (APS)</t>
  </si>
  <si>
    <t>6,3 €/GJ</t>
  </si>
  <si>
    <t>Natural gas</t>
  </si>
  <si>
    <t>5,7 €/GJ</t>
  </si>
  <si>
    <t>5 €/GJ</t>
  </si>
  <si>
    <t>All scenarios - biomethane</t>
  </si>
  <si>
    <t>Source: Danish Energy Agency</t>
  </si>
  <si>
    <t>18,8 €/GJ</t>
  </si>
  <si>
    <t>Biomethane</t>
  </si>
  <si>
    <t>18 €/GJ</t>
  </si>
  <si>
    <t>17,3 €/GJ</t>
  </si>
  <si>
    <t>IEA's Global Energy and Climate Model 2024</t>
  </si>
  <si>
    <t>Scenario STEPS</t>
  </si>
  <si>
    <r>
      <t xml:space="preserve">Table 2.3, page 21
</t>
    </r>
    <r>
      <rPr>
        <u/>
        <sz val="11"/>
        <color theme="1"/>
        <rFont val="Aptos Narrow"/>
        <family val="2"/>
        <scheme val="minor"/>
      </rPr>
      <t xml:space="preserve">Artelys' treatment: </t>
    </r>
    <r>
      <rPr>
        <sz val="11"/>
        <color theme="1"/>
        <rFont val="Aptos Narrow"/>
        <family val="2"/>
        <scheme val="minor"/>
      </rPr>
      <t xml:space="preserve">
Assumed conversion factor LHV / HHV for natural gas = 90%
Conversion factor USD / euro = 0,9
Conversion factor Mbtu / MWh = 0,29</t>
    </r>
  </si>
  <si>
    <t>The European Union gas prices reflect a balance of pipeline and LNG imports.
STEPS: Stated Policies Scenario
APS: Announced Pledges scenario
NZE: Net Zero Emissions by 2050 scenario</t>
  </si>
  <si>
    <t>https://iea.blob.core.windows.net/assets/89a1aa9a-e1bd-4803-b37b-59d6e7fba1e9/GlobalEnergyandClimateModelDocumentation2024.pdf</t>
  </si>
  <si>
    <t>6.5 USD/ Mbtu</t>
  </si>
  <si>
    <t>HHV</t>
  </si>
  <si>
    <t>European Union</t>
  </si>
  <si>
    <t>7.6 USD/ Mbtu</t>
  </si>
  <si>
    <t>7.7 USD/ Mbtu</t>
  </si>
  <si>
    <t>Scenario APS</t>
  </si>
  <si>
    <t>6.0 USD/ Mbtu</t>
  </si>
  <si>
    <t>5.2 USD/ Mbtu</t>
  </si>
  <si>
    <t>Scenario NZE</t>
  </si>
  <si>
    <t>4.4 USD/ Mbtu</t>
  </si>
  <si>
    <t>NZE scenario seems less likely than STEPS and APS scenarios</t>
  </si>
  <si>
    <t>4.1 USD/ Mbtu</t>
  </si>
  <si>
    <t>4.0 USD/ Mbtu</t>
  </si>
  <si>
    <t>European Commission</t>
  </si>
  <si>
    <t>Recommended parameters for GHG projections</t>
  </si>
  <si>
    <r>
      <t xml:space="preserve">Proposed harmonised central trajectories for international fuel prices
Partnership network of the European Environment Agency (EEA) and its 38 member and cooperating countries. EEA and Eionet gather and develop data, knowledge, and advice to policy makers about Europe's environment.
Value given in Annex I
</t>
    </r>
    <r>
      <rPr>
        <u/>
        <sz val="11"/>
        <color theme="1"/>
        <rFont val="Aptos Narrow"/>
        <family val="2"/>
        <scheme val="minor"/>
      </rPr>
      <t>Artelys' treatment:</t>
    </r>
    <r>
      <rPr>
        <sz val="11"/>
        <color theme="1"/>
        <rFont val="Aptos Narrow"/>
        <family val="2"/>
        <scheme val="minor"/>
      </rPr>
      <t xml:space="preserve">
Conversion (€/GJ)/(€/MWh) = 0,278 </t>
    </r>
  </si>
  <si>
    <t>https://www.eionet.europa.eu/reportnet/docs/govreg/projections/govregart18_ec_parameters_projections_2021.zip/view</t>
  </si>
  <si>
    <t>9.0 €/GJ</t>
  </si>
  <si>
    <t>LHV</t>
  </si>
  <si>
    <t>International prices for European Union</t>
  </si>
  <si>
    <t>10.1 €/GJ</t>
  </si>
  <si>
    <t>9.6 €/GJ</t>
  </si>
  <si>
    <t>Lower bound</t>
  </si>
  <si>
    <t>6.8 €/GJ</t>
  </si>
  <si>
    <t>Range instead of precise value</t>
  </si>
  <si>
    <t>Upper bound</t>
  </si>
  <si>
    <t>12.6 €/GJ</t>
  </si>
  <si>
    <t>6.7 €/GJ</t>
  </si>
  <si>
    <t>6.1 €/GJ</t>
  </si>
  <si>
    <t>13.2 €/GJ</t>
  </si>
  <si>
    <t>Deloitte Canada</t>
  </si>
  <si>
    <r>
      <t xml:space="preserve">Page 15
</t>
    </r>
    <r>
      <rPr>
        <u/>
        <sz val="11"/>
        <color theme="1"/>
        <rFont val="Aptos Narrow"/>
        <family val="2"/>
        <scheme val="minor"/>
      </rPr>
      <t>Artelys' treatment:</t>
    </r>
    <r>
      <rPr>
        <sz val="11"/>
        <color theme="1"/>
        <rFont val="Aptos Narrow"/>
        <family val="2"/>
        <scheme val="minor"/>
      </rPr>
      <t xml:space="preserve"> It was assumed that 1 Mcf has 0,30 MWh LHV of energy and 1 USD = 0,9 €</t>
    </r>
  </si>
  <si>
    <t>https://www.deloitte.com/content/dam/assets-zone3/ca/en/docs/industries/energy-resources-industrials/2024/ca-energy-oil-gas-price-forecast-Q3-en-AODA.pdf</t>
  </si>
  <si>
    <t>4.50 USD/Mcf</t>
  </si>
  <si>
    <t>Volume, so not specified</t>
  </si>
  <si>
    <t>NYMEX Henry Hub</t>
  </si>
  <si>
    <t>International prices for North America</t>
  </si>
  <si>
    <t>North America</t>
  </si>
  <si>
    <t>3.65 USD/Mcf</t>
  </si>
  <si>
    <t>4.30 USD/Mcf</t>
  </si>
  <si>
    <t>Rocky Mountain Opal</t>
  </si>
  <si>
    <t>San Juan Ignacio</t>
  </si>
  <si>
    <t>10.70 USD/Mcf</t>
  </si>
  <si>
    <t>UK NBP</t>
  </si>
  <si>
    <t>7.85 USD/Mcf</t>
  </si>
  <si>
    <t>India domestic gas</t>
  </si>
  <si>
    <t>Elia - Adequacy and Flexibility study 2024-2034</t>
  </si>
  <si>
    <t>CENTRAL scenario and data</t>
  </si>
  <si>
    <t>Two equal values are given for Gas TTF and gas NBP</t>
  </si>
  <si>
    <t>Assumptions taken from IEA's World Energy Outlook 2022</t>
  </si>
  <si>
    <t>https://www.elia.be/-/media/project/elia/elia-site/electricity-market-and-system/adequacy/adequacy-studies/adequacy-studies/20230707_assumptionsworkbook_adeqflex23.xlsx</t>
  </si>
  <si>
    <t>24.9 €/MWh (€2022)</t>
  </si>
  <si>
    <t>Gas TTF and Gas NBP</t>
  </si>
  <si>
    <t>Enerdata, Asian and European gas prices will converge by 2030, Executive Brief</t>
  </si>
  <si>
    <t>NDC based scenario</t>
  </si>
  <si>
    <t>Executive Brief from Enerdata, a consulting firm
Page 1</t>
  </si>
  <si>
    <t>Source: EnerFuture, the forecasting platform of EnerData</t>
  </si>
  <si>
    <t>https://www.enerdata.net/publications/executive-briefing/gas-prices-estimates-convergence-asia-europe.pdf</t>
  </si>
  <si>
    <t>8 US$ / Mbtu</t>
  </si>
  <si>
    <t>5 US$ / Mbtu</t>
  </si>
  <si>
    <t>The geographical scope is not Europe</t>
  </si>
  <si>
    <t>Asia</t>
  </si>
  <si>
    <t>10 US$ / Mbtu</t>
  </si>
  <si>
    <t>6 US$ / Mbtu</t>
  </si>
  <si>
    <t>9 US$ / Mbtu</t>
  </si>
  <si>
    <t>U.S. Energy Information Administration</t>
  </si>
  <si>
    <t>Short-Term Energy Outlook, May 2025</t>
  </si>
  <si>
    <t>US EIA</t>
  </si>
  <si>
    <t>https://www.eia.gov/outlooks/steo/report/natgas.php</t>
  </si>
  <si>
    <t>4,80$/Mbtu</t>
  </si>
  <si>
    <t>Henry Hub</t>
  </si>
  <si>
    <t>Time horizon 2026</t>
  </si>
  <si>
    <t>ICE Endex, Dutch TTF Natural Gas Futures</t>
  </si>
  <si>
    <t>Mean traded value on the 2 years market from January 2025 to May 2025 for Summer 2028</t>
  </si>
  <si>
    <r>
      <rPr>
        <u/>
        <sz val="11"/>
        <color theme="1"/>
        <rFont val="Aptos Narrow"/>
        <family val="2"/>
        <scheme val="minor"/>
      </rPr>
      <t>Artelys' treatment:</t>
    </r>
    <r>
      <rPr>
        <sz val="11"/>
        <color theme="1"/>
        <rFont val="Aptos Narrow"/>
        <family val="2"/>
        <scheme val="minor"/>
      </rPr>
      <t xml:space="preserve"> Mean of the market values</t>
    </r>
  </si>
  <si>
    <t>https://www.ice.com/products/27996665/Dutch-TTF-Natural-Gas-Futures/data?marketId=6162977&amp;span=1</t>
  </si>
  <si>
    <t>25 €/MWh</t>
  </si>
  <si>
    <t>Dutch TTF</t>
  </si>
  <si>
    <t>Time horizon 2028</t>
  </si>
  <si>
    <t>Mean traded value on the 2 years market from January 2025 to May 2025 for Winter 2028</t>
  </si>
  <si>
    <t>34 €/MWh</t>
  </si>
  <si>
    <t>Mean traded value on the intraday market from January 2025 to May 2025 for Winter 2025</t>
  </si>
  <si>
    <t>38 €/MWh</t>
  </si>
  <si>
    <t>Time horizon 2025</t>
  </si>
  <si>
    <t>Bound</t>
  </si>
  <si>
    <t>Source - Entity (full)</t>
  </si>
  <si>
    <t>Source - Short description (full)</t>
  </si>
  <si>
    <t>Value (€/MW/km)</t>
  </si>
  <si>
    <t>Construction methodology</t>
  </si>
  <si>
    <t>Onshore / Offshore</t>
  </si>
  <si>
    <t>Size of pipe</t>
  </si>
  <si>
    <t>New / Repurposed</t>
  </si>
  <si>
    <t>CAPEX of compressor included?</t>
  </si>
  <si>
    <t>TYNDP 2024</t>
  </si>
  <si>
    <t>Values provided directly in €/MW/km (p. 104)</t>
  </si>
  <si>
    <t>Page 104 of the methodology report</t>
  </si>
  <si>
    <t>https://2024.entsos-tyndp-scenarios.eu/wp-content/uploads/2024/07/TYNDP_2024_Scenarios_Methodology_Report_240708.pdf</t>
  </si>
  <si>
    <t>528,57 €/MW/km</t>
  </si>
  <si>
    <t>Values provided in €/km for different pipeline sizes (p. 52 / units conversions: Artelys)</t>
  </si>
  <si>
    <t>1,5 M€/km</t>
  </si>
  <si>
    <t>S (20 inch)</t>
  </si>
  <si>
    <t>New</t>
  </si>
  <si>
    <t>Yes: 3.4 M€/MW of compressor and 0.206 MW of compressor /km</t>
  </si>
  <si>
    <t>Pipeline size S</t>
  </si>
  <si>
    <t>2,2 M€/km</t>
  </si>
  <si>
    <t>M (36 inch)</t>
  </si>
  <si>
    <t>Yes: 3.4 M€/MW and  0.21 MW/km</t>
  </si>
  <si>
    <t>2,8 M€/km</t>
  </si>
  <si>
    <t>L (48 inch)</t>
  </si>
  <si>
    <t>Pipeline size L</t>
  </si>
  <si>
    <t>0,3 M€/km</t>
  </si>
  <si>
    <t>Repurposed</t>
  </si>
  <si>
    <t>Yes: 3.4 M€/MW and  0.206 MW/km</t>
  </si>
  <si>
    <t>0,4 M€/km</t>
  </si>
  <si>
    <t>0,5 M€/km</t>
  </si>
  <si>
    <t>Values provided border by border (p. 107 / unit conversion &amp; average: Artelys)</t>
  </si>
  <si>
    <t>Table A07 of TYNDP 2024 Methodology Report: Hydrogen pipeline investment candidates, p.107
Artelys' treatment: Average CAPEX (€/MW/km) found by dividing the total cost of projects by (total distance (30% of distance between capital cities for each pipe) * total capacity (maximum of indirect and direct capacity))</t>
  </si>
  <si>
    <t>326 €/MW/km</t>
  </si>
  <si>
    <t>The way the distance of the pipelines is estimated by Artelys in order to obtain costs per km of pipeline is very approximate</t>
  </si>
  <si>
    <t>EHB</t>
  </si>
  <si>
    <t>EHB 2023: Implementation roadmap (mainly)</t>
  </si>
  <si>
    <t>1. EHB 2023: https://ehb.eu/files/downloads/EHB-2023-Implementation-Roadmap-Part-1.pdf
2. EHB 2021: https://ehb.eu/files/downloads/European-Hydrogen-Backbone-April-2021-V3.pdf
3. EHB 2024: https://ehb.eu/files/downloads/EHB-2024-Implementation-Roadmap-Part-2.pdf</t>
  </si>
  <si>
    <t>1,8 M€/km</t>
  </si>
  <si>
    <t>Yes: 0.026 M€/km</t>
  </si>
  <si>
    <t>3,2 M€/km</t>
  </si>
  <si>
    <t>Yes: 0.093 M€/km</t>
  </si>
  <si>
    <t>4,4 M€/km</t>
  </si>
  <si>
    <t>Yes: 0.183 M€/km</t>
  </si>
  <si>
    <t>0,54 M€/km</t>
  </si>
  <si>
    <t>0,64 M€/km</t>
  </si>
  <si>
    <t>Yes: 0.04 M€/km</t>
  </si>
  <si>
    <t>0,88 M€/km</t>
  </si>
  <si>
    <t>5,44 M€/km</t>
  </si>
  <si>
    <t>Offshore</t>
  </si>
  <si>
    <t>Yes: 0.158 M€/km</t>
  </si>
  <si>
    <t>7,48 M€/km</t>
  </si>
  <si>
    <t>Yes: 0.311 M€/km</t>
  </si>
  <si>
    <t>1,09 M€/km</t>
  </si>
  <si>
    <t>Yes: 0.068 M€/km</t>
  </si>
  <si>
    <t>(Cited by DNV)</t>
  </si>
  <si>
    <t>https://aquaventus.org/wp-content/uploads/2023/03/DNV-Study_Specification_of_a_European_Offshore_Hydrogen_Backbone.pdf</t>
  </si>
  <si>
    <t>92k€/inch/km</t>
  </si>
  <si>
    <t>Middle bound</t>
  </si>
  <si>
    <t>101k€/inch/km</t>
  </si>
  <si>
    <t>124 k€/inch/km</t>
  </si>
  <si>
    <t>8,3 k€/inch/km</t>
  </si>
  <si>
    <t>10,8 k€/inch/km</t>
  </si>
  <si>
    <t>13,2 k€/inch/km</t>
  </si>
  <si>
    <t>NSWPH</t>
  </si>
  <si>
    <t>90 k€/inch/km</t>
  </si>
  <si>
    <t>119 k€/inch/km</t>
  </si>
  <si>
    <t>157 k€/inch/km</t>
  </si>
  <si>
    <t>TNO</t>
  </si>
  <si>
    <t>30 k€/inch/km</t>
  </si>
  <si>
    <t>72 k€/inch/km</t>
  </si>
  <si>
    <t>0,3 k€/inch/km</t>
  </si>
  <si>
    <t>E-Bridge</t>
  </si>
  <si>
    <t>Assessment of connection concepts for Germany’s far out North Sea offshore wind areas</t>
  </si>
  <si>
    <r>
      <t xml:space="preserve">Page 45
</t>
    </r>
    <r>
      <rPr>
        <u/>
        <sz val="11"/>
        <rFont val="Aptos Narrow"/>
        <family val="2"/>
        <scheme val="minor"/>
      </rPr>
      <t>Artelys' treatment:</t>
    </r>
    <r>
      <rPr>
        <sz val="11"/>
        <rFont val="Aptos Narrow"/>
        <family val="2"/>
        <scheme val="minor"/>
      </rPr>
      <t xml:space="preserve"> According to the source, the CAPEX on onshore pipes is 4,4 M€/km. A factor of 170% applied to find the offshore CAPEX of 7,48 M€/km. 14% of the pipeline capacity is met by 2,8 GW_H2 pipes, 35% by 7 GW_H2 pipes and 50% by 9,8 GW_H2 pipes. The values in k€/MW_H2/km are calculated with a capacity-weighted average.</t>
    </r>
  </si>
  <si>
    <t>https://aquaventus.org/wp-content/uploads/2024/09/240829_AQV_ShortStudy_EN.pdf</t>
  </si>
  <si>
    <t>966 €/MW_H2/km</t>
  </si>
  <si>
    <t>50% L-pipes, 35% M-pipes and 15% S-pipes</t>
  </si>
  <si>
    <t>568 €/MW_H2/km</t>
  </si>
  <si>
    <t>Restraint geographical scope</t>
  </si>
  <si>
    <t>Strategy&amp;</t>
  </si>
  <si>
    <t>Report: HyWay 27: hydrogen transmission using the existing natural gas grid?</t>
  </si>
  <si>
    <r>
      <rPr>
        <u/>
        <sz val="11"/>
        <color theme="1"/>
        <rFont val="Aptos Narrow"/>
        <family val="2"/>
        <scheme val="minor"/>
      </rPr>
      <t>Artelys' treatment:</t>
    </r>
    <r>
      <rPr>
        <sz val="11"/>
        <color theme="1"/>
        <rFont val="Aptos Narrow"/>
        <family val="2"/>
        <scheme val="minor"/>
      </rPr>
      <t xml:space="preserve">
Page 72: 3,2M€/km for new pipes and 0,84 M€/km for repurposed pipes. 
Page 75, Strategy&amp; mentions that 36-inch pipe corresponds to approx. 9.1 GW of capacity
The price in M€/km was then divided by the capacity  to find the price in €/km/MW</t>
    </r>
  </si>
  <si>
    <t>Source: Gasunie, which provided non-public information, according to the report (page 3)</t>
  </si>
  <si>
    <t>https://www.entsog.eu/sites/default/files/2021-11/1.2.%20HyWay27%20Final%20report%20%28UK%29.pdf</t>
  </si>
  <si>
    <t>352 €/MW/km</t>
  </si>
  <si>
    <t>92 €/MW/km</t>
  </si>
  <si>
    <t>Transition Accelerator</t>
  </si>
  <si>
    <t xml:space="preserve"> Technical Brief, The Techno-Economics of Hydrogen Pipelines</t>
  </si>
  <si>
    <r>
      <rPr>
        <u/>
        <sz val="11"/>
        <color theme="1"/>
        <rFont val="Aptos Narrow"/>
        <family val="2"/>
        <scheme val="minor"/>
      </rPr>
      <t>Artelys' treatment:</t>
    </r>
    <r>
      <rPr>
        <sz val="11"/>
        <color theme="1"/>
        <rFont val="Aptos Narrow"/>
        <family val="2"/>
        <scheme val="minor"/>
      </rPr>
      <t xml:space="preserve"> It was assumed that 1 kg H2 provides 33,33 kWh_H2 PCI and 1 US$ = 0,9 €</t>
    </r>
  </si>
  <si>
    <t>The calculation methodology follows a method developed from historical cost data for natural gas pipelines in the US and summarized in the HDSAM model developed
by Argonne National laboratory ("Hydrogen Delivery Scenario Analysis Model (HDSAM)." [Online] Accessed Nov. 19. 2021. Available at
https://hdsam.es.anl.gov/index.php?content=hdsam):
page 46: Case study: Pipeline cost calculations 8096 M CAD for a 1500 km long and operating at maximum capacity H2 pipe (4,279 kt H2/day)
Exchange rate: 0.75 US$/C$
36-inch steel pipeline with an inlet diameter (D) of 895.3 mm</t>
  </si>
  <si>
    <t>https://transitionaccelerator.ca/wp-content/uploads/2023/06/The-Techno-Economics-of-Hydrogen-Pipelines-v2.pdf</t>
  </si>
  <si>
    <t>681 USD/MW_H2/km</t>
  </si>
  <si>
    <t>(Plusieurs éléments)</t>
  </si>
  <si>
    <t>(Tous)</t>
  </si>
  <si>
    <t>Moyenne de Value (€/MW/km)</t>
  </si>
  <si>
    <t>Étiquettes de colonnes</t>
  </si>
  <si>
    <t>Étiquettes de lignes</t>
  </si>
  <si>
    <t>Value (LHV)</t>
  </si>
  <si>
    <t>LHV / HHV</t>
  </si>
  <si>
    <t>Technology</t>
  </si>
  <si>
    <t>Scenarios DE &amp; GA</t>
  </si>
  <si>
    <t>Methodology report, Page 51</t>
  </si>
  <si>
    <t>IEA</t>
  </si>
  <si>
    <t>The Future of Hydrogen</t>
  </si>
  <si>
    <t>Page 45
Report prepared by the IEA for the G20, Japan</t>
  </si>
  <si>
    <t>https://iea.blob.core.windows.net/assets/9e3a3493-b9a6-4b7d-b499-7ca48e357561/The_Future_of_Hydrogen.pdf</t>
  </si>
  <si>
    <t>Lower band</t>
  </si>
  <si>
    <t>Citing several sources</t>
  </si>
  <si>
    <t>Alkaline</t>
  </si>
  <si>
    <t>Technology-specific value and time horizon is 2019</t>
  </si>
  <si>
    <t>Upper band</t>
  </si>
  <si>
    <t>Technology-specific value</t>
  </si>
  <si>
    <t>Long term</t>
  </si>
  <si>
    <t>PEM</t>
  </si>
  <si>
    <t>SOEC</t>
  </si>
  <si>
    <t>ENTEC</t>
  </si>
  <si>
    <t>The role of renewable H₂ import &amp; storage to scale up the EU deployment of renewable H₂</t>
  </si>
  <si>
    <r>
      <rPr>
        <u/>
        <sz val="11"/>
        <color theme="1"/>
        <rFont val="Aptos Narrow"/>
        <family val="2"/>
        <scheme val="minor"/>
      </rPr>
      <t xml:space="preserve">Artelys' treatment: </t>
    </r>
    <r>
      <rPr>
        <sz val="11"/>
        <color theme="1"/>
        <rFont val="Aptos Narrow"/>
        <family val="2"/>
        <scheme val="minor"/>
      </rPr>
      <t xml:space="preserve">
1 kg H2 = 33.33 kWh (LHV) according to the source.</t>
    </r>
  </si>
  <si>
    <t>https://op.europa.eu/en/publication-detail/-/publication/7ab70e32-a5a0-11ec-83e1-01aa75ed71a1/language-en</t>
  </si>
  <si>
    <t>48.89MWhel/tH₂</t>
  </si>
  <si>
    <r>
      <rPr>
        <u/>
        <sz val="11"/>
        <color theme="1"/>
        <rFont val="Aptos Narrow"/>
        <family val="2"/>
        <scheme val="minor"/>
      </rPr>
      <t>Artelys' treatment:</t>
    </r>
    <r>
      <rPr>
        <sz val="11"/>
        <color theme="1"/>
        <rFont val="Aptos Narrow"/>
        <family val="2"/>
        <scheme val="minor"/>
      </rPr>
      <t xml:space="preserve">
Conversion factor HHV/LHV = 0,85</t>
    </r>
  </si>
  <si>
    <t>Raw extraction on reported efficiency related parameters of commercially available systems from 6 manufacturers (anonymised) - collected by the JRC in April 2024.</t>
  </si>
  <si>
    <t>https://publications.jrc.ec.europa.eu/repository/handle/JRC140567</t>
  </si>
  <si>
    <t>Time horizon is 2024</t>
  </si>
  <si>
    <t>Bloom Energy</t>
  </si>
  <si>
    <t>Hydrogen Electrolyzers for a Clean Energy Future</t>
  </si>
  <si>
    <r>
      <t xml:space="preserve">Leading hydrogen manufacturer
</t>
    </r>
    <r>
      <rPr>
        <u/>
        <sz val="11"/>
        <color theme="1"/>
        <rFont val="Aptos Narrow"/>
        <family val="2"/>
        <scheme val="minor"/>
      </rPr>
      <t>Artelys' treatment:</t>
    </r>
    <r>
      <rPr>
        <sz val="11"/>
        <color theme="1"/>
        <rFont val="Aptos Narrow"/>
        <family val="2"/>
        <scheme val="minor"/>
      </rPr>
      <t xml:space="preserve"> Conversion from kg H2 to kWh H2 using 1 kg H2 = 33.33 kWh (LHV)</t>
    </r>
  </si>
  <si>
    <t>Pilot results provided by Bloom Energy directly</t>
  </si>
  <si>
    <t>https://www.bloomenergy.com/bloomelectrolyzer/#:~:text=Running%20at%20high%20temperatures%20and,per%20kilogram%20of%20hydrogen%20produced.</t>
  </si>
  <si>
    <t>52 kWh/kgH2</t>
  </si>
  <si>
    <t>Technology-specific value and time horizon is 2021</t>
  </si>
  <si>
    <t>54 kWh/kgH2</t>
  </si>
  <si>
    <t>37,5 kWh/kgH2</t>
  </si>
  <si>
    <t>Solid Oxide</t>
  </si>
  <si>
    <t xml:space="preserve">Original source </t>
  </si>
  <si>
    <t>Type of institution grade</t>
  </si>
  <si>
    <t>Justification of the type of institution grade</t>
  </si>
  <si>
    <t>Relevance grade</t>
  </si>
  <si>
    <t>Coefficient 1 for the type of institution grade and 2 for the relevance grade</t>
  </si>
  <si>
    <t>Criteria used for the relevance grade</t>
  </si>
  <si>
    <t>Pass/fail criteria</t>
  </si>
  <si>
    <t>Research centre</t>
  </si>
  <si>
    <t>Public authority</t>
  </si>
  <si>
    <t>Official TSO's statistics</t>
  </si>
  <si>
    <t>Industry representative</t>
  </si>
  <si>
    <t>Generalist newspaper</t>
  </si>
  <si>
    <t>Based on WindEurope and Ember data</t>
  </si>
  <si>
    <r>
      <t xml:space="preserve">Final updated NECP 2021-2030 (submitted in August 2024)
</t>
    </r>
    <r>
      <rPr>
        <u/>
        <sz val="11"/>
        <color theme="1"/>
        <rFont val="Aptos Narrow"/>
        <family val="2"/>
        <scheme val="minor"/>
      </rPr>
      <t>Artelys' treatment</t>
    </r>
    <r>
      <rPr>
        <sz val="11"/>
        <color theme="1"/>
        <rFont val="Aptos Narrow"/>
        <family val="2"/>
        <scheme val="minor"/>
      </rPr>
      <t>: 
- Expected onshore wind generation given page 19: 115 GW
- Total renewable electricity generation in 2030 given page 19: 600 TWh 
- Share of onshore wind generation in total renewable electricity generation derived from the table page 283: 26.2%/74.2% =35.3%. This gives an expected annual offshore wind generation of 212 TWh.  
 annual generation (212 TWh) divided by (installed capacity (115 GW ) * 8760 hours/year)</t>
    </r>
  </si>
  <si>
    <t xml:space="preserve">Value not directly  available in the report (see Artelys' treatments carried out to retrieve the value). 
No transparency from the NECP on how this value was built.  </t>
  </si>
  <si>
    <t>Geographical scope too large + value for new-built in 2030</t>
  </si>
  <si>
    <t>Geographical scope is too large + value for new-built in 2023</t>
  </si>
  <si>
    <t>No details available in the NECP</t>
  </si>
  <si>
    <t>ENSPRESO's available data are not sufficient to determine a average capacity factor (a distribution of the wind installed capacities by capacity factor is missing)</t>
  </si>
  <si>
    <t>Part 2 of the annexes of the Impact Assessement (SWD(2021) 621 final) specifies (page 90): 
"RES capacities, potential and availability: JRC ENSPRESO, JRC
EMHIRES, RES ninja, ECN, DLR and Observer, IRENA"</t>
  </si>
  <si>
    <t>Electricity TSO</t>
  </si>
  <si>
    <t>Energy agency</t>
  </si>
  <si>
    <t>Market exchange operator</t>
  </si>
  <si>
    <t>Private company</t>
  </si>
  <si>
    <t>Pass/fail</t>
  </si>
  <si>
    <r>
      <t xml:space="preserve">Page 52 of TYNDP 2024 Methodology report
</t>
    </r>
    <r>
      <rPr>
        <u/>
        <sz val="11"/>
        <color theme="0" tint="-0.499984740745262"/>
        <rFont val="Aptos Narrow"/>
        <family val="2"/>
        <scheme val="minor"/>
      </rPr>
      <t>Artelys' treatment:</t>
    </r>
    <r>
      <rPr>
        <sz val="11"/>
        <color theme="0" tint="-0.499984740745262"/>
        <rFont val="Aptos Narrow"/>
        <family val="2"/>
        <scheme val="minor"/>
      </rPr>
      <t xml:space="preserve"> 
Using the pipeline CAPEX (€/km), the compression requirements (MW/km) and the compression CAPEX (€/MW) as well as the capacity corresponding to the size of the pipe (1200 MW fop S pipes, 4040 MW for M pipes and 13000 MW for L pipes, according to the report)</t>
    </r>
  </si>
  <si>
    <t>NGO</t>
  </si>
  <si>
    <r>
      <t xml:space="preserve">Page 45
</t>
    </r>
    <r>
      <rPr>
        <u/>
        <sz val="11"/>
        <color theme="1"/>
        <rFont val="Aptos Narrow"/>
        <family val="2"/>
        <scheme val="minor"/>
      </rPr>
      <t xml:space="preserve">
Artelys' treatment:
</t>
    </r>
    <r>
      <rPr>
        <sz val="11"/>
        <color theme="1"/>
        <rFont val="Aptos Narrow"/>
        <family val="2"/>
        <scheme val="minor"/>
      </rPr>
      <t xml:space="preserve">Values found in DNV, Specification of a European Offshore Hydrogen Backbone (see link).
To convert the initial value in €/inch/km, a typical pipe of M size (36 inch) and 4040 MW was used. 
</t>
    </r>
  </si>
  <si>
    <t>Original source</t>
  </si>
  <si>
    <t>Research centres (mainly)</t>
  </si>
  <si>
    <t>Manufacturer</t>
  </si>
  <si>
    <t>CAPEX of new-built onshore hydrogen transmission pipelines, medium size</t>
  </si>
  <si>
    <t>Natural gas price in 2030, 2040 and 2050 in Europe</t>
  </si>
  <si>
    <t>Onshore wind's average capacity factor for Germany in 2030</t>
  </si>
  <si>
    <r>
      <rPr>
        <b/>
        <u/>
        <sz val="11"/>
        <color rgb="FFFF0000"/>
        <rFont val="Aptos Narrow"/>
        <family val="2"/>
        <scheme val="minor"/>
      </rPr>
      <t>Disclaimer</t>
    </r>
    <r>
      <rPr>
        <b/>
        <sz val="11"/>
        <color rgb="FFFF0000"/>
        <rFont val="Aptos Narrow"/>
        <family val="2"/>
        <scheme val="minor"/>
      </rPr>
      <t>: The purpose of the present document is to provide a template that could be used to implement the methodology proposed in the report. For clarity, this template is applied to real-world examples. However, the content of this document (comments and ratings assigned to each of the sources) is purely illustrative. In particular, the authors of this document do not claim to propose a rating and ranking of sources, nor to recommend values for future modelling cycles.
The actual implementation of the methodology proposed here will require further study of the sources and methodologies, which has not been carried out within the scope of this project (as this project focuses on methodology rather than content).</t>
    </r>
  </si>
  <si>
    <t>Production or Producible?</t>
  </si>
  <si>
    <t>Extensive documentation of the methodology available on Copernicus website</t>
  </si>
  <si>
    <t>Producible</t>
  </si>
  <si>
    <t xml:space="preserve">Extensive documentation of the methodology available on Copernicus website (https://cds.climate.copernicus.eu/datasets/sis-energy-pecd?tab=documentation)
A key improvement of PECD 4  compared to previous version is to integrate the effect of climate change. </t>
  </si>
  <si>
    <r>
      <rPr>
        <u/>
        <sz val="11"/>
        <color theme="1"/>
        <rFont val="Aptos Narrow"/>
        <family val="2"/>
        <scheme val="minor"/>
      </rPr>
      <t>Artelys' treatment:</t>
    </r>
    <r>
      <rPr>
        <sz val="11"/>
        <color theme="1"/>
        <rFont val="Aptos Narrow"/>
        <family val="2"/>
        <scheme val="minor"/>
      </rPr>
      <t xml:space="preserve"> Projected electricity generation in onshore wind according to CTP-MIX scenario (847 TWh) divided by (8760 hours * projected capacities in onshore wind according to CTP-MIX scenario (366 GW))</t>
    </r>
  </si>
  <si>
    <t>Geographical scope is too large. 
No transparency on the construction methodology</t>
  </si>
  <si>
    <r>
      <t xml:space="preserve">Report cited by the JRC's ENSPRESO2 publication (see below) 
Figure D, page 9
</t>
    </r>
    <r>
      <rPr>
        <u/>
        <sz val="11"/>
        <color theme="1"/>
        <rFont val="Aptos Narrow"/>
        <family val="2"/>
        <scheme val="minor"/>
      </rPr>
      <t xml:space="preserve">
Artelys' treatment</t>
    </r>
    <r>
      <rPr>
        <sz val="11"/>
        <color theme="1"/>
        <rFont val="Aptos Narrow"/>
        <family val="2"/>
        <scheme val="minor"/>
      </rPr>
      <t xml:space="preserve">: number of full load hours (2460 - 2950) obtained by graphical reading. Number of full load hours divided by 8760 to obtain average capacity factor. </t>
    </r>
  </si>
  <si>
    <t>Source databases: MaStR, AnlR, ÜNB-Bewegungsdaten, BNetzA Quartalsberichte, Anemos-Ertragsindex.
The calculation of the full load hours achieved to date is based on the current movement data for the year 2018 at the time the study was prepared.</t>
  </si>
  <si>
    <r>
      <t xml:space="preserve">ENSPRESO project does not aim at estimating average capacity factor but wind generation potential. Therefore, the result of ENSPESO2 project is not a single average capacity factor, but rather a distribution of generation capacity at different capacity factors (depending on the location of the wind farms). 
Relies on global wind atlas (www.globalwindatlas.info).
</t>
    </r>
    <r>
      <rPr>
        <u/>
        <sz val="11"/>
        <color theme="1"/>
        <rFont val="Aptos Narrow"/>
        <family val="2"/>
        <scheme val="minor"/>
      </rPr>
      <t>NB1</t>
    </r>
    <r>
      <rPr>
        <sz val="11"/>
        <color theme="1"/>
        <rFont val="Aptos Narrow"/>
        <family val="2"/>
        <scheme val="minor"/>
      </rPr>
      <t xml:space="preserve">: ENSPRESO2 methodology only considers location with a capacity factor &gt;20% (locations with a lower CF are not considered as viable) - source: page 10 of the report.
</t>
    </r>
    <r>
      <rPr>
        <u/>
        <sz val="11"/>
        <color theme="1"/>
        <rFont val="Aptos Narrow"/>
        <family val="2"/>
        <scheme val="minor"/>
      </rPr>
      <t>NB2</t>
    </r>
    <r>
      <rPr>
        <sz val="11"/>
        <color theme="1"/>
        <rFont val="Aptos Narrow"/>
        <family val="2"/>
        <scheme val="minor"/>
      </rPr>
      <t>: ENSPRESO methodology also considers a loss factor (decrease of the annual generation potential) of  15%, to represent the amount of energy that is lost due to issues such as equipment downtime, maintenance downtime, and environmental conditions - source: page 20 of the report.</t>
    </r>
  </si>
  <si>
    <r>
      <rPr>
        <u/>
        <sz val="11"/>
        <color theme="1"/>
        <rFont val="Aptos Narrow"/>
        <family val="2"/>
        <scheme val="minor"/>
      </rPr>
      <t>Artelys' treatment</t>
    </r>
    <r>
      <rPr>
        <sz val="11"/>
        <color theme="1"/>
        <rFont val="Aptos Narrow"/>
        <family val="2"/>
        <scheme val="minor"/>
      </rPr>
      <t>: in the reference scenario ("Reference - Large turbines"), the JRC estimates a potential of 42.2 GW of onshore wind in Germany with a capacity factor higher than 25%, and 64.8 GW with a capacity factor between 20% and 25%. 
In TYNDP 2024 NT+ scenario, wind onshore installed capacity reaches 115 GW in 2030. According to ENSPRESO 1's results, reaching this installed capacity will require to install plants in locations with a lower capacity factor than 25%.</t>
    </r>
  </si>
  <si>
    <t>WindEurope Wind energy in Europe</t>
  </si>
  <si>
    <t>Power Statistics of 2020 to 2024</t>
  </si>
  <si>
    <t xml:space="preserve">Report: Energy, oil, and gas price forecast </t>
  </si>
  <si>
    <t>Permian Waha</t>
  </si>
  <si>
    <r>
      <t xml:space="preserve">Main source: EHB 2023: Implementation roadmap - cross border projects and costs update,2023
- CAPEX of pipelines (€/km)
As complementary sources, Artelys has also used:
"EHB 2021: A EUROPEAN HYDROGEN INFRASTRUCTURE VISION COVERING 21 COUNTRIES, 2021" for the capacity of the different sizes of pipelines:
- Pipe S has a capacity of 1200 MW_H2 (LHV), 
- Pipe M has a capacity of 4700 MW_H2 if new, 3600 MW_H2 if repurposed.
- Pipe L has a capacity of 13000 MW_H2 
EHB 2024:  Implementation Roadmap: Public support as catalyst for hydrogen infrastructure, 2024 for the assumptions on CAPEX of compressors (€/km)
</t>
    </r>
    <r>
      <rPr>
        <u/>
        <sz val="11"/>
        <color theme="1"/>
        <rFont val="Aptos Narrow"/>
        <family val="2"/>
        <scheme val="minor"/>
      </rPr>
      <t>Artelys' treatment</t>
    </r>
    <r>
      <rPr>
        <sz val="11"/>
        <color theme="1"/>
        <rFont val="Aptos Narrow"/>
        <family val="2"/>
        <scheme val="minor"/>
      </rPr>
      <t>: [pipeline cost (M€/km for different pipeline sizes) + compressor cost (M€/km for different pipeline sizes)] divided by the capacity corresponding to the different pipeline sizes.</t>
    </r>
  </si>
  <si>
    <t>Efficiency provided by a manufacturer</t>
  </si>
  <si>
    <t>Assumed electrolyser's efficiency at stack level</t>
  </si>
  <si>
    <t>Assumed electrolyser's efficiency at system level</t>
  </si>
  <si>
    <t>Average efficiency of electrolysers in 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</si>
</sst>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quot;_-;\-* #,##0.00\ &quot;€&quot;_-;_-* &quot;-&quot;??\ &quot;€&quot;_-;_-@_-"/>
    <numFmt numFmtId="165" formatCode="0.0%"/>
    <numFmt numFmtId="166" formatCode="0.0"/>
  </numFmts>
  <fonts count="25" x14ac:knownFonts="1">
    <font>
      <sz val="11"/>
      <color theme="1"/>
      <name val="Aptos Narrow"/>
      <family val="2"/>
      <scheme val="minor"/>
    </font>
    <font>
      <b/>
      <sz val="11"/>
      <color theme="0"/>
      <name val="Aptos Narrow"/>
      <family val="2"/>
      <scheme val="minor"/>
    </font>
    <font>
      <b/>
      <sz val="11"/>
      <color theme="1"/>
      <name val="Aptos Narrow"/>
      <family val="2"/>
      <scheme val="minor"/>
    </font>
    <font>
      <b/>
      <sz val="12"/>
      <color theme="1"/>
      <name val="Aptos Narrow"/>
      <family val="2"/>
      <scheme val="minor"/>
    </font>
    <font>
      <u/>
      <sz val="11"/>
      <color theme="10"/>
      <name val="Aptos Narrow"/>
      <family val="2"/>
      <scheme val="minor"/>
    </font>
    <font>
      <sz val="8"/>
      <name val="Aptos Narrow"/>
      <family val="2"/>
      <scheme val="minor"/>
    </font>
    <font>
      <sz val="11"/>
      <color theme="1"/>
      <name val="Aptos Narrow"/>
      <family val="2"/>
      <scheme val="minor"/>
    </font>
    <font>
      <i/>
      <sz val="11"/>
      <color theme="1"/>
      <name val="Aptos Narrow"/>
      <family val="2"/>
      <scheme val="minor"/>
    </font>
    <font>
      <sz val="11"/>
      <color rgb="FF9C5700"/>
      <name val="Aptos Narrow"/>
      <family val="2"/>
      <scheme val="minor"/>
    </font>
    <font>
      <sz val="11"/>
      <color rgb="FF444340"/>
      <name val="Aptos Narrow"/>
      <family val="2"/>
      <scheme val="minor"/>
    </font>
    <font>
      <i/>
      <sz val="11"/>
      <color theme="0" tint="-0.249977111117893"/>
      <name val="Aptos Narrow"/>
      <family val="2"/>
      <scheme val="minor"/>
    </font>
    <font>
      <i/>
      <u/>
      <sz val="11"/>
      <color theme="0" tint="-0.249977111117893"/>
      <name val="Aptos Narrow"/>
      <family val="2"/>
      <scheme val="minor"/>
    </font>
    <font>
      <i/>
      <sz val="11"/>
      <color theme="0" tint="-0.499984740745262"/>
      <name val="Aptos Narrow"/>
      <family val="2"/>
      <scheme val="minor"/>
    </font>
    <font>
      <i/>
      <u/>
      <sz val="11"/>
      <color theme="0" tint="-0.499984740745262"/>
      <name val="Aptos Narrow"/>
      <family val="2"/>
      <scheme val="minor"/>
    </font>
    <font>
      <sz val="11"/>
      <name val="Aptos Narrow"/>
      <family val="2"/>
      <scheme val="minor"/>
    </font>
    <font>
      <u/>
      <sz val="11"/>
      <name val="Aptos Narrow"/>
      <family val="2"/>
      <scheme val="minor"/>
    </font>
    <font>
      <sz val="11"/>
      <color rgb="FF006100"/>
      <name val="Aptos Narrow"/>
      <family val="2"/>
      <scheme val="minor"/>
    </font>
    <font>
      <b/>
      <sz val="16"/>
      <color theme="1"/>
      <name val="Aptos Narrow"/>
      <family val="2"/>
      <scheme val="minor"/>
    </font>
    <font>
      <u/>
      <sz val="11"/>
      <color theme="1"/>
      <name val="Aptos Narrow"/>
      <family val="2"/>
      <scheme val="minor"/>
    </font>
    <font>
      <i/>
      <sz val="11"/>
      <color rgb="FF006100"/>
      <name val="Aptos Narrow"/>
      <family val="2"/>
      <scheme val="minor"/>
    </font>
    <font>
      <i/>
      <sz val="11"/>
      <name val="Aptos Narrow"/>
      <family val="2"/>
      <scheme val="minor"/>
    </font>
    <font>
      <sz val="11"/>
      <color theme="0" tint="-0.499984740745262"/>
      <name val="Aptos Narrow"/>
      <family val="2"/>
      <scheme val="minor"/>
    </font>
    <font>
      <b/>
      <u/>
      <sz val="11"/>
      <color rgb="FFFF0000"/>
      <name val="Aptos Narrow"/>
      <family val="2"/>
      <scheme val="minor"/>
    </font>
    <font>
      <b/>
      <sz val="11"/>
      <color rgb="FFFF0000"/>
      <name val="Aptos Narrow"/>
      <family val="2"/>
      <scheme val="minor"/>
    </font>
    <font>
      <u/>
      <sz val="11"/>
      <color theme="0" tint="-0.499984740745262"/>
      <name val="Aptos Narrow"/>
      <family val="2"/>
      <scheme val="minor"/>
    </font>
  </fonts>
  <fills count="9">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0" tint="-0.249977111117893"/>
        <bgColor indexed="64"/>
      </patternFill>
    </fill>
    <fill>
      <patternFill patternType="solid">
        <fgColor rgb="FFFFEB9C"/>
      </patternFill>
    </fill>
    <fill>
      <patternFill patternType="solid">
        <fgColor rgb="FFC6EFCE"/>
      </patternFill>
    </fill>
    <fill>
      <patternFill patternType="solid">
        <fgColor rgb="FFFFEB9C"/>
        <bgColor indexed="64"/>
      </patternFill>
    </fill>
    <fill>
      <patternFill patternType="solid">
        <fgColor rgb="FFFFF7D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0" fontId="4" fillId="0" borderId="0" applyNumberFormat="0" applyFill="0" applyBorder="0" applyAlignment="0" applyProtection="0"/>
    <xf numFmtId="0" fontId="8" fillId="5" borderId="0" applyNumberFormat="0" applyBorder="0" applyAlignment="0" applyProtection="0"/>
    <xf numFmtId="164" fontId="6" fillId="0" borderId="0" applyFont="0" applyFill="0" applyBorder="0" applyAlignment="0" applyProtection="0"/>
    <xf numFmtId="9" fontId="6" fillId="0" borderId="0" applyFont="0" applyFill="0" applyBorder="0" applyAlignment="0" applyProtection="0"/>
    <xf numFmtId="0" fontId="16" fillId="6" borderId="0" applyNumberFormat="0" applyBorder="0" applyAlignment="0" applyProtection="0"/>
  </cellStyleXfs>
  <cellXfs count="200">
    <xf numFmtId="0" fontId="0" fillId="0" borderId="0" xfId="0"/>
    <xf numFmtId="0" fontId="0" fillId="3" borderId="0" xfId="0" applyFill="1" applyAlignment="1">
      <alignment vertical="center"/>
    </xf>
    <xf numFmtId="0" fontId="2" fillId="4" borderId="2" xfId="0" applyFont="1" applyFill="1" applyBorder="1" applyAlignment="1">
      <alignment vertical="center" wrapText="1"/>
    </xf>
    <xf numFmtId="0" fontId="2" fillId="0" borderId="3" xfId="0" applyFont="1" applyBorder="1" applyAlignment="1">
      <alignment horizontal="left" vertical="center" wrapText="1" indent="1"/>
    </xf>
    <xf numFmtId="0" fontId="0" fillId="3" borderId="4" xfId="0" applyFill="1" applyBorder="1" applyAlignment="1">
      <alignment vertical="center" wrapText="1"/>
    </xf>
    <xf numFmtId="0" fontId="0" fillId="4" borderId="4" xfId="0" applyFill="1" applyBorder="1" applyAlignment="1">
      <alignment vertical="center" wrapText="1"/>
    </xf>
    <xf numFmtId="0" fontId="0" fillId="0" borderId="5" xfId="0" applyBorder="1" applyAlignment="1">
      <alignment horizontal="left" vertical="center" wrapText="1" indent="1"/>
    </xf>
    <xf numFmtId="0" fontId="0" fillId="4" borderId="6" xfId="0" applyFill="1" applyBorder="1" applyAlignment="1">
      <alignment vertical="center" wrapText="1"/>
    </xf>
    <xf numFmtId="14" fontId="0" fillId="0" borderId="7" xfId="0" applyNumberFormat="1" applyBorder="1" applyAlignment="1">
      <alignment horizontal="left" vertical="center" wrapText="1" indent="1"/>
    </xf>
    <xf numFmtId="0" fontId="0" fillId="3" borderId="0" xfId="0" applyFill="1" applyAlignment="1">
      <alignment vertical="center" wrapText="1"/>
    </xf>
    <xf numFmtId="0" fontId="0" fillId="0" borderId="0" xfId="0" applyAlignment="1">
      <alignment horizontal="center"/>
    </xf>
    <xf numFmtId="0" fontId="0" fillId="0" borderId="0" xfId="0" applyAlignment="1">
      <alignment horizontal="left"/>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1" fillId="0" borderId="9" xfId="0" applyFont="1" applyBorder="1" applyAlignment="1">
      <alignment vertical="center" wrapText="1"/>
    </xf>
    <xf numFmtId="0" fontId="1" fillId="0" borderId="0" xfId="0" applyFont="1" applyAlignment="1">
      <alignment vertical="center" wrapText="1"/>
    </xf>
    <xf numFmtId="0" fontId="0" fillId="0" borderId="0" xfId="0" applyAlignment="1">
      <alignment wrapText="1"/>
    </xf>
    <xf numFmtId="49" fontId="0" fillId="0" borderId="1" xfId="0" applyNumberFormat="1" applyBorder="1" applyAlignment="1">
      <alignment horizontal="center" vertical="center" wrapText="1"/>
    </xf>
    <xf numFmtId="1" fontId="0" fillId="0" borderId="1" xfId="0" applyNumberFormat="1" applyBorder="1" applyAlignment="1">
      <alignment horizontal="center" vertical="center" wrapText="1"/>
    </xf>
    <xf numFmtId="49" fontId="8" fillId="5" borderId="1" xfId="2" applyNumberFormat="1" applyBorder="1" applyAlignment="1">
      <alignment horizontal="center" vertical="center" wrapText="1"/>
    </xf>
    <xf numFmtId="10" fontId="0" fillId="0" borderId="1" xfId="0" applyNumberFormat="1" applyBorder="1" applyAlignment="1">
      <alignment horizontal="center" vertical="center" wrapText="1"/>
    </xf>
    <xf numFmtId="49" fontId="0" fillId="0" borderId="0" xfId="0" applyNumberFormat="1" applyAlignment="1">
      <alignment vertical="center" wrapText="1"/>
    </xf>
    <xf numFmtId="0" fontId="0" fillId="0" borderId="1" xfId="0" applyBorder="1" applyAlignment="1">
      <alignment horizontal="center"/>
    </xf>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9" fontId="0" fillId="0" borderId="1" xfId="0" applyNumberFormat="1" applyBorder="1" applyAlignment="1">
      <alignment horizontal="center" vertical="center" wrapText="1"/>
    </xf>
    <xf numFmtId="9" fontId="0" fillId="0" borderId="1" xfId="4" applyFont="1" applyBorder="1" applyAlignment="1">
      <alignment horizontal="center" vertical="center"/>
    </xf>
    <xf numFmtId="165" fontId="0" fillId="0" borderId="1" xfId="4" applyNumberFormat="1" applyFont="1" applyBorder="1" applyAlignment="1">
      <alignment horizontal="center" vertical="center" wrapText="1"/>
    </xf>
    <xf numFmtId="0" fontId="0" fillId="0" borderId="10" xfId="0" applyBorder="1" applyAlignment="1">
      <alignment horizontal="center"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7" fillId="0" borderId="0" xfId="0" applyFont="1"/>
    <xf numFmtId="9" fontId="12" fillId="0" borderId="1" xfId="0" applyNumberFormat="1" applyFont="1" applyBorder="1" applyAlignment="1">
      <alignment horizontal="center" vertical="center" wrapText="1"/>
    </xf>
    <xf numFmtId="165" fontId="0" fillId="0" borderId="1" xfId="0" applyNumberFormat="1" applyBorder="1" applyAlignment="1">
      <alignment horizontal="center" vertical="center" wrapText="1"/>
    </xf>
    <xf numFmtId="49" fontId="0" fillId="0" borderId="8" xfId="0" applyNumberFormat="1" applyBorder="1" applyAlignment="1">
      <alignment horizontal="center" vertical="center" wrapText="1"/>
    </xf>
    <xf numFmtId="10" fontId="12" fillId="0" borderId="1" xfId="0" applyNumberFormat="1" applyFont="1" applyBorder="1" applyAlignment="1">
      <alignment horizontal="center" vertical="center" wrapText="1"/>
    </xf>
    <xf numFmtId="0" fontId="17" fillId="0" borderId="0" xfId="0" applyFont="1"/>
    <xf numFmtId="49" fontId="16" fillId="6" borderId="1" xfId="5" applyNumberFormat="1" applyBorder="1" applyAlignment="1">
      <alignment horizontal="center" vertical="center" wrapText="1"/>
    </xf>
    <xf numFmtId="0" fontId="16" fillId="6" borderId="1" xfId="5" applyBorder="1" applyAlignment="1">
      <alignment horizontal="center" vertical="center" wrapText="1"/>
    </xf>
    <xf numFmtId="0" fontId="0" fillId="0" borderId="2" xfId="0" applyBorder="1" applyAlignment="1">
      <alignment horizontal="center" vertical="center" wrapText="1"/>
    </xf>
    <xf numFmtId="0" fontId="12" fillId="0" borderId="3" xfId="0" applyFont="1" applyBorder="1" applyAlignment="1">
      <alignment horizontal="center" vertical="center" wrapText="1"/>
    </xf>
    <xf numFmtId="0" fontId="12" fillId="0" borderId="7" xfId="0" applyFont="1" applyBorder="1" applyAlignment="1">
      <alignment horizontal="center" vertical="center" wrapText="1"/>
    </xf>
    <xf numFmtId="49" fontId="16" fillId="6" borderId="8" xfId="5" applyNumberFormat="1" applyBorder="1" applyAlignment="1">
      <alignment horizontal="center" vertical="center" wrapText="1"/>
    </xf>
    <xf numFmtId="0" fontId="12" fillId="0" borderId="1" xfId="0" applyFont="1" applyBorder="1" applyAlignment="1">
      <alignment horizontal="left" vertical="center" wrapText="1"/>
    </xf>
    <xf numFmtId="49" fontId="1" fillId="2" borderId="13" xfId="0" applyNumberFormat="1" applyFont="1" applyFill="1" applyBorder="1" applyAlignment="1">
      <alignment horizontal="center" vertical="center"/>
    </xf>
    <xf numFmtId="0" fontId="12" fillId="0" borderId="13" xfId="0" applyFont="1" applyBorder="1" applyAlignment="1">
      <alignment horizontal="center" vertical="center"/>
    </xf>
    <xf numFmtId="0" fontId="0" fillId="0" borderId="0" xfId="0" applyAlignment="1">
      <alignment horizontal="center" vertical="center" wrapText="1"/>
    </xf>
    <xf numFmtId="49" fontId="16" fillId="6" borderId="10" xfId="5" applyNumberFormat="1" applyBorder="1" applyAlignment="1">
      <alignment horizontal="center" vertical="center" wrapText="1"/>
    </xf>
    <xf numFmtId="49" fontId="0" fillId="0" borderId="6" xfId="0" applyNumberFormat="1" applyBorder="1" applyAlignment="1">
      <alignment horizontal="center" vertical="center" wrapText="1"/>
    </xf>
    <xf numFmtId="49" fontId="14" fillId="6" borderId="1" xfId="5" applyNumberFormat="1" applyFont="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vertical="center"/>
    </xf>
    <xf numFmtId="0" fontId="13" fillId="0" borderId="1" xfId="1" applyFont="1" applyFill="1" applyBorder="1" applyAlignment="1">
      <alignment vertical="center"/>
    </xf>
    <xf numFmtId="0" fontId="4" fillId="0" borderId="1" xfId="1" applyFill="1" applyBorder="1" applyAlignment="1">
      <alignment vertical="center"/>
    </xf>
    <xf numFmtId="0" fontId="4" fillId="0" borderId="8" xfId="1" applyFill="1" applyBorder="1" applyAlignment="1">
      <alignment vertical="center"/>
    </xf>
    <xf numFmtId="0" fontId="4" fillId="0" borderId="10" xfId="1" applyFill="1" applyBorder="1" applyAlignment="1">
      <alignment vertical="center"/>
    </xf>
    <xf numFmtId="165" fontId="0" fillId="0" borderId="7" xfId="0" applyNumberFormat="1" applyBorder="1" applyAlignment="1">
      <alignment horizontal="center" vertical="center" wrapText="1"/>
    </xf>
    <xf numFmtId="0" fontId="19" fillId="6" borderId="1" xfId="5" applyFont="1" applyBorder="1" applyAlignment="1">
      <alignment horizontal="center" vertical="center" wrapText="1"/>
    </xf>
    <xf numFmtId="49" fontId="19" fillId="6" borderId="1" xfId="5" applyNumberFormat="1" applyFont="1" applyBorder="1" applyAlignment="1">
      <alignment horizontal="center" vertical="center" wrapText="1"/>
    </xf>
    <xf numFmtId="0" fontId="16" fillId="6" borderId="1" xfId="5" applyBorder="1" applyAlignment="1">
      <alignment horizontal="center"/>
    </xf>
    <xf numFmtId="0" fontId="0" fillId="0" borderId="1" xfId="0" applyBorder="1" applyAlignment="1">
      <alignment vertical="center" wrapText="1"/>
    </xf>
    <xf numFmtId="0" fontId="8" fillId="5" borderId="1" xfId="2" applyBorder="1" applyAlignment="1">
      <alignment horizontal="center" vertical="center" wrapText="1"/>
    </xf>
    <xf numFmtId="0" fontId="0" fillId="3" borderId="4" xfId="0" applyFill="1" applyBorder="1" applyAlignment="1">
      <alignment vertical="center"/>
    </xf>
    <xf numFmtId="0" fontId="0" fillId="3" borderId="5" xfId="0" applyFill="1" applyBorder="1" applyAlignment="1">
      <alignment vertical="center"/>
    </xf>
    <xf numFmtId="49" fontId="1" fillId="2" borderId="1" xfId="0" applyNumberFormat="1" applyFont="1" applyFill="1" applyBorder="1" applyAlignment="1">
      <alignment horizontal="center" vertical="center"/>
    </xf>
    <xf numFmtId="0" fontId="12" fillId="0" borderId="1" xfId="0" applyFont="1" applyBorder="1" applyAlignment="1">
      <alignment horizontal="center" vertical="center"/>
    </xf>
    <xf numFmtId="0" fontId="7" fillId="0" borderId="0" xfId="0" applyFont="1" applyAlignment="1">
      <alignment wrapText="1"/>
    </xf>
    <xf numFmtId="0" fontId="20" fillId="0" borderId="1" xfId="0" applyFont="1" applyBorder="1" applyAlignment="1">
      <alignment horizontal="center" vertical="center" wrapText="1"/>
    </xf>
    <xf numFmtId="0" fontId="7"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0" fillId="0" borderId="0" xfId="0" pivotButton="1"/>
    <xf numFmtId="0" fontId="0" fillId="0" borderId="0" xfId="0" applyAlignment="1">
      <alignment horizontal="left" indent="1"/>
    </xf>
    <xf numFmtId="49" fontId="1" fillId="2" borderId="1" xfId="0" applyNumberFormat="1" applyFont="1" applyFill="1" applyBorder="1" applyAlignment="1">
      <alignment vertical="center" wrapText="1"/>
    </xf>
    <xf numFmtId="166" fontId="0" fillId="0" borderId="1" xfId="0" applyNumberFormat="1" applyBorder="1" applyAlignment="1">
      <alignment horizontal="center" vertical="center" wrapText="1"/>
    </xf>
    <xf numFmtId="9" fontId="0" fillId="0" borderId="8" xfId="0" applyNumberFormat="1" applyBorder="1" applyAlignment="1">
      <alignment horizontal="center" vertical="center" wrapText="1"/>
    </xf>
    <xf numFmtId="9" fontId="0" fillId="0" borderId="3" xfId="0" applyNumberFormat="1" applyBorder="1" applyAlignment="1">
      <alignment horizontal="center" vertical="center" wrapText="1"/>
    </xf>
    <xf numFmtId="9" fontId="0" fillId="0" borderId="7" xfId="0" applyNumberFormat="1" applyBorder="1" applyAlignment="1">
      <alignment horizontal="center" vertical="center" wrapText="1"/>
    </xf>
    <xf numFmtId="9" fontId="0" fillId="0" borderId="10" xfId="0" applyNumberFormat="1" applyBorder="1" applyAlignment="1">
      <alignment horizontal="center" vertical="center" wrapText="1"/>
    </xf>
    <xf numFmtId="0" fontId="1" fillId="2" borderId="1" xfId="0" applyFont="1" applyFill="1" applyBorder="1" applyAlignment="1">
      <alignment horizontal="center" vertical="center"/>
    </xf>
    <xf numFmtId="0" fontId="4" fillId="0" borderId="1" xfId="1" applyFill="1" applyBorder="1" applyAlignment="1">
      <alignment horizontal="left" vertical="center"/>
    </xf>
    <xf numFmtId="0" fontId="4" fillId="0" borderId="1" xfId="1" applyBorder="1" applyAlignment="1">
      <alignment horizontal="left" vertical="center"/>
    </xf>
    <xf numFmtId="49" fontId="1" fillId="2" borderId="1" xfId="0" applyNumberFormat="1" applyFont="1" applyFill="1" applyBorder="1" applyAlignment="1">
      <alignment vertical="center"/>
    </xf>
    <xf numFmtId="49" fontId="1" fillId="2" borderId="1" xfId="0" applyNumberFormat="1" applyFont="1" applyFill="1" applyBorder="1" applyAlignment="1">
      <alignment horizontal="left" vertical="center"/>
    </xf>
    <xf numFmtId="0" fontId="12" fillId="0" borderId="1" xfId="0" applyFont="1" applyBorder="1" applyAlignment="1">
      <alignment horizontal="left" vertical="center"/>
    </xf>
    <xf numFmtId="0" fontId="0" fillId="0" borderId="1" xfId="3" applyNumberFormat="1" applyFont="1" applyBorder="1" applyAlignment="1">
      <alignment horizontal="center" vertical="center"/>
    </xf>
    <xf numFmtId="1" fontId="0" fillId="0" borderId="0" xfId="0" applyNumberFormat="1"/>
    <xf numFmtId="49" fontId="8" fillId="5" borderId="8" xfId="2" applyNumberFormat="1" applyBorder="1" applyAlignment="1">
      <alignment horizontal="center" vertical="center" wrapText="1"/>
    </xf>
    <xf numFmtId="0" fontId="12" fillId="0" borderId="0" xfId="0" applyFont="1" applyAlignment="1">
      <alignment horizontal="center"/>
    </xf>
    <xf numFmtId="0" fontId="12" fillId="0" borderId="0" xfId="0" applyFont="1" applyAlignment="1">
      <alignment horizontal="center" wrapText="1"/>
    </xf>
    <xf numFmtId="0" fontId="12" fillId="0" borderId="0" xfId="0" applyFont="1" applyAlignment="1">
      <alignment horizontal="center" vertical="center"/>
    </xf>
    <xf numFmtId="0" fontId="12" fillId="0" borderId="14" xfId="0" applyFont="1" applyBorder="1"/>
    <xf numFmtId="0" fontId="21" fillId="0" borderId="1" xfId="0" applyFont="1" applyBorder="1" applyAlignment="1">
      <alignment horizontal="center" vertical="center" wrapText="1"/>
    </xf>
    <xf numFmtId="0" fontId="21" fillId="0" borderId="1" xfId="0" applyFont="1" applyBorder="1"/>
    <xf numFmtId="1" fontId="21" fillId="0" borderId="1" xfId="0" applyNumberFormat="1" applyFont="1" applyBorder="1" applyAlignment="1">
      <alignment horizontal="center" vertical="center" wrapText="1"/>
    </xf>
    <xf numFmtId="0" fontId="21" fillId="6" borderId="1" xfId="5" applyFont="1" applyBorder="1" applyAlignment="1">
      <alignment horizontal="center" vertical="center" wrapText="1"/>
    </xf>
    <xf numFmtId="0" fontId="8" fillId="7" borderId="1" xfId="2" applyFill="1" applyBorder="1" applyAlignment="1">
      <alignment horizontal="center" vertical="center" wrapText="1"/>
    </xf>
    <xf numFmtId="49" fontId="8" fillId="8" borderId="1" xfId="2" applyNumberFormat="1" applyFill="1" applyBorder="1" applyAlignment="1">
      <alignment horizontal="center" vertical="center" wrapText="1"/>
    </xf>
    <xf numFmtId="0" fontId="8" fillId="8" borderId="1" xfId="2" applyFill="1" applyBorder="1" applyAlignment="1">
      <alignment horizontal="center" vertical="center" wrapText="1"/>
    </xf>
    <xf numFmtId="49" fontId="8" fillId="8" borderId="10" xfId="2" applyNumberFormat="1" applyFill="1" applyBorder="1" applyAlignment="1">
      <alignment horizontal="center" vertical="center" wrapText="1"/>
    </xf>
    <xf numFmtId="0" fontId="8" fillId="5" borderId="8" xfId="2" applyBorder="1" applyAlignment="1">
      <alignment horizontal="center" vertical="center" wrapText="1"/>
    </xf>
    <xf numFmtId="0" fontId="23" fillId="3" borderId="6" xfId="0" applyFont="1" applyFill="1" applyBorder="1" applyAlignment="1">
      <alignment horizontal="left" vertical="center" wrapText="1"/>
    </xf>
    <xf numFmtId="0" fontId="0" fillId="3" borderId="7" xfId="0" applyFill="1" applyBorder="1" applyAlignment="1">
      <alignment horizontal="left" vertical="center" wrapText="1"/>
    </xf>
    <xf numFmtId="0" fontId="4" fillId="3" borderId="4" xfId="1" applyFill="1" applyBorder="1" applyAlignment="1">
      <alignment horizontal="center"/>
    </xf>
    <xf numFmtId="0" fontId="4" fillId="3" borderId="5" xfId="1" applyFill="1" applyBorder="1" applyAlignment="1">
      <alignment horizontal="center"/>
    </xf>
    <xf numFmtId="0" fontId="3" fillId="3" borderId="0" xfId="0" applyFont="1" applyFill="1" applyAlignment="1">
      <alignment horizontal="left" vertical="center" wrapText="1"/>
    </xf>
    <xf numFmtId="0" fontId="0" fillId="3" borderId="2" xfId="0" applyFill="1" applyBorder="1" applyAlignment="1">
      <alignment horizontal="left" wrapText="1"/>
    </xf>
    <xf numFmtId="0" fontId="0" fillId="3" borderId="3" xfId="0" applyFill="1" applyBorder="1" applyAlignment="1">
      <alignment horizontal="left" wrapText="1"/>
    </xf>
    <xf numFmtId="0" fontId="0" fillId="3" borderId="4" xfId="0" applyFill="1" applyBorder="1" applyAlignment="1">
      <alignment horizontal="left" wrapText="1"/>
    </xf>
    <xf numFmtId="0" fontId="0" fillId="3" borderId="5" xfId="0" applyFill="1" applyBorder="1" applyAlignment="1">
      <alignment horizontal="left" wrapText="1"/>
    </xf>
    <xf numFmtId="0" fontId="12" fillId="0" borderId="8" xfId="0" applyFont="1" applyBorder="1" applyAlignment="1">
      <alignment horizontal="center" vertical="center"/>
    </xf>
    <xf numFmtId="0" fontId="12" fillId="0" borderId="11" xfId="0" applyFont="1" applyBorder="1" applyAlignment="1">
      <alignment horizontal="center" vertical="center"/>
    </xf>
    <xf numFmtId="49" fontId="8" fillId="8" borderId="8" xfId="2" applyNumberFormat="1" applyFill="1" applyBorder="1" applyAlignment="1">
      <alignment horizontal="center" vertical="center" wrapText="1"/>
    </xf>
    <xf numFmtId="49" fontId="8" fillId="8" borderId="10" xfId="2" applyNumberFormat="1" applyFill="1" applyBorder="1" applyAlignment="1">
      <alignment horizontal="center" vertical="center" wrapText="1"/>
    </xf>
    <xf numFmtId="49" fontId="16" fillId="6" borderId="8" xfId="5" applyNumberFormat="1" applyBorder="1" applyAlignment="1">
      <alignment horizontal="center" vertical="center" wrapText="1"/>
    </xf>
    <xf numFmtId="49" fontId="16" fillId="6" borderId="10" xfId="5" applyNumberFormat="1" applyBorder="1" applyAlignment="1">
      <alignment horizontal="center" vertical="center" wrapText="1"/>
    </xf>
    <xf numFmtId="49" fontId="8" fillId="5" borderId="8" xfId="2" applyNumberFormat="1" applyBorder="1" applyAlignment="1">
      <alignment horizontal="center" vertical="center" wrapText="1"/>
    </xf>
    <xf numFmtId="49" fontId="8" fillId="5" borderId="10" xfId="2" applyNumberFormat="1"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4" fillId="0" borderId="8" xfId="1" applyFill="1" applyBorder="1" applyAlignment="1">
      <alignment vertical="center"/>
    </xf>
    <xf numFmtId="0" fontId="4" fillId="0" borderId="10" xfId="1" applyFill="1" applyBorder="1" applyAlignment="1">
      <alignment vertical="center"/>
    </xf>
    <xf numFmtId="49" fontId="0" fillId="0" borderId="8" xfId="0" applyNumberFormat="1" applyBorder="1" applyAlignment="1">
      <alignment horizontal="center" vertical="center" wrapText="1"/>
    </xf>
    <xf numFmtId="49" fontId="0" fillId="0" borderId="10" xfId="0" applyNumberForma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49" fontId="0" fillId="0" borderId="11" xfId="0" applyNumberForma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3" fillId="0" borderId="8" xfId="1" applyFont="1" applyBorder="1" applyAlignment="1">
      <alignment vertical="center"/>
    </xf>
    <xf numFmtId="0" fontId="13" fillId="0" borderId="11" xfId="1" applyFont="1" applyBorder="1" applyAlignment="1">
      <alignment vertical="center"/>
    </xf>
    <xf numFmtId="0" fontId="13" fillId="0" borderId="10" xfId="1" applyFont="1" applyBorder="1" applyAlignment="1">
      <alignment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4" fillId="0" borderId="8" xfId="1" applyFill="1" applyBorder="1" applyAlignment="1">
      <alignment vertical="center" wrapText="1"/>
    </xf>
    <xf numFmtId="0" fontId="4" fillId="0" borderId="8" xfId="1" applyBorder="1" applyAlignment="1">
      <alignment vertical="center" wrapText="1"/>
    </xf>
    <xf numFmtId="0" fontId="4" fillId="0" borderId="10" xfId="1" applyBorder="1" applyAlignment="1">
      <alignment vertical="center"/>
    </xf>
    <xf numFmtId="49" fontId="0" fillId="0" borderId="4" xfId="0" applyNumberFormat="1" applyBorder="1" applyAlignment="1">
      <alignment horizontal="center" vertical="center" wrapText="1"/>
    </xf>
    <xf numFmtId="49" fontId="0" fillId="0" borderId="6" xfId="0" applyNumberFormat="1"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2" fillId="0" borderId="0" xfId="0" applyFont="1" applyAlignment="1">
      <alignment horizontal="center" wrapText="1"/>
    </xf>
    <xf numFmtId="0" fontId="12" fillId="0" borderId="14" xfId="0" applyFont="1" applyBorder="1" applyAlignment="1">
      <alignment horizont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2" fillId="0" borderId="14" xfId="0" applyFont="1" applyBorder="1" applyAlignment="1">
      <alignment horizontal="center"/>
    </xf>
    <xf numFmtId="49" fontId="1" fillId="2" borderId="12" xfId="0" applyNumberFormat="1" applyFont="1" applyFill="1" applyBorder="1" applyAlignment="1">
      <alignment horizontal="center" vertical="center" wrapText="1"/>
    </xf>
    <xf numFmtId="49" fontId="1" fillId="2" borderId="13" xfId="0" applyNumberFormat="1" applyFont="1" applyFill="1" applyBorder="1" applyAlignment="1">
      <alignment horizontal="center" vertical="center" wrapText="1"/>
    </xf>
    <xf numFmtId="0" fontId="12" fillId="0" borderId="8"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11" xfId="0" applyBorder="1" applyAlignment="1">
      <alignment horizontal="center" vertical="center" wrapText="1"/>
    </xf>
    <xf numFmtId="0" fontId="4" fillId="0" borderId="1" xfId="1" applyFill="1" applyBorder="1" applyAlignment="1">
      <alignment horizontal="lef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2" xfId="0" applyBorder="1" applyAlignment="1">
      <alignment horizontal="center" wrapText="1"/>
    </xf>
    <xf numFmtId="0" fontId="0" fillId="0" borderId="13" xfId="0" applyBorder="1" applyAlignment="1">
      <alignment horizontal="center" wrapText="1"/>
    </xf>
    <xf numFmtId="0" fontId="10" fillId="0" borderId="1" xfId="0" applyFont="1" applyBorder="1" applyAlignment="1">
      <alignment horizontal="center" vertical="center" wrapText="1"/>
    </xf>
    <xf numFmtId="0" fontId="11" fillId="0" borderId="1" xfId="1" applyFont="1" applyFill="1" applyBorder="1" applyAlignment="1">
      <alignment horizontal="left" vertical="center"/>
    </xf>
    <xf numFmtId="0" fontId="0" fillId="0" borderId="8" xfId="0" applyBorder="1" applyAlignment="1">
      <alignment horizontal="center"/>
    </xf>
    <xf numFmtId="0" fontId="0" fillId="0" borderId="11" xfId="0" applyBorder="1" applyAlignment="1">
      <alignment horizontal="center"/>
    </xf>
    <xf numFmtId="0" fontId="0" fillId="0" borderId="10" xfId="0" applyBorder="1" applyAlignment="1">
      <alignment horizontal="center"/>
    </xf>
    <xf numFmtId="49" fontId="12" fillId="0" borderId="8" xfId="0" applyNumberFormat="1" applyFont="1" applyBorder="1" applyAlignment="1">
      <alignment horizontal="center" vertical="center" wrapText="1"/>
    </xf>
    <xf numFmtId="49" fontId="12" fillId="0" borderId="11"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3" fillId="0" borderId="8" xfId="1" applyFont="1" applyFill="1" applyBorder="1" applyAlignment="1">
      <alignment horizontal="left" vertical="center"/>
    </xf>
    <xf numFmtId="0" fontId="13" fillId="0" borderId="11" xfId="1" applyFont="1" applyFill="1" applyBorder="1" applyAlignment="1">
      <alignment horizontal="left" vertical="center"/>
    </xf>
    <xf numFmtId="0" fontId="13" fillId="0" borderId="10" xfId="1" applyFont="1" applyFill="1" applyBorder="1" applyAlignment="1">
      <alignment horizontal="left"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2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1" applyFont="1" applyFill="1" applyBorder="1" applyAlignment="1">
      <alignment horizontal="left" vertical="center"/>
    </xf>
    <xf numFmtId="0" fontId="4" fillId="0" borderId="1" xfId="1" applyFill="1" applyBorder="1" applyAlignment="1">
      <alignment horizontal="left" vertical="center" wrapText="1"/>
    </xf>
    <xf numFmtId="0" fontId="0" fillId="0" borderId="1" xfId="0" applyBorder="1" applyAlignment="1">
      <alignment horizontal="left" vertical="center" wrapText="1"/>
    </xf>
    <xf numFmtId="0" fontId="4" fillId="0" borderId="8" xfId="1" applyBorder="1" applyAlignment="1">
      <alignment horizontal="left" vertical="center"/>
    </xf>
    <xf numFmtId="0" fontId="4" fillId="0" borderId="11" xfId="1" applyBorder="1" applyAlignment="1">
      <alignment horizontal="left" vertical="center"/>
    </xf>
    <xf numFmtId="0" fontId="4" fillId="0" borderId="10" xfId="1" applyBorder="1" applyAlignment="1">
      <alignment horizontal="left" vertical="center"/>
    </xf>
    <xf numFmtId="49" fontId="12" fillId="0" borderId="1" xfId="0" applyNumberFormat="1" applyFont="1" applyBorder="1" applyAlignment="1">
      <alignment horizontal="center" vertical="center" wrapText="1"/>
    </xf>
    <xf numFmtId="0" fontId="13" fillId="0" borderId="1" xfId="1" applyFont="1" applyFill="1" applyBorder="1" applyAlignment="1">
      <alignment horizontal="left" vertical="center"/>
    </xf>
    <xf numFmtId="49" fontId="1" fillId="2" borderId="1" xfId="0" applyNumberFormat="1" applyFont="1" applyFill="1" applyBorder="1" applyAlignment="1">
      <alignment horizontal="center" vertical="center" wrapText="1"/>
    </xf>
  </cellXfs>
  <cellStyles count="6">
    <cellStyle name="Currency" xfId="3" builtinId="4"/>
    <cellStyle name="Good" xfId="5" builtinId="26"/>
    <cellStyle name="Hyperlink" xfId="1" builtinId="8"/>
    <cellStyle name="Neutral" xfId="2" builtinId="28"/>
    <cellStyle name="Normal" xfId="0" builtinId="0"/>
    <cellStyle name="Per cent" xfId="4" builtinId="5"/>
  </cellStyles>
  <dxfs count="37">
    <dxf>
      <font>
        <color rgb="FF9C0006"/>
      </font>
      <fill>
        <patternFill>
          <bgColor rgb="FFFFC7CE"/>
        </patternFill>
      </fill>
    </dxf>
    <dxf>
      <font>
        <color rgb="FF9C0006"/>
      </font>
      <fill>
        <patternFill patternType="solid">
          <bgColor rgb="FFF8696B"/>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EB9C"/>
        </patternFill>
      </fill>
    </dxf>
    <dxf>
      <font>
        <color rgb="FF006100"/>
      </font>
      <fill>
        <patternFill>
          <bgColor rgb="FFC6EFCE"/>
        </patternFill>
      </fill>
    </dxf>
    <dxf>
      <font>
        <color rgb="FF9C0006"/>
      </font>
      <fill>
        <patternFill>
          <bgColor rgb="FFFFEB9C"/>
        </patternFill>
      </fill>
    </dxf>
    <dxf>
      <font>
        <color rgb="FF9C5700"/>
      </font>
      <fill>
        <patternFill>
          <bgColor rgb="FFFFF7D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fgColor rgb="FF9C0006"/>
          <bgColor rgb="FFFFC7CE"/>
        </patternFill>
      </fill>
    </dxf>
    <dxf>
      <fill>
        <patternFill>
          <fgColor rgb="FF006100"/>
          <bgColor rgb="FFC6EFCE"/>
        </patternFill>
      </fill>
    </dxf>
    <dxf>
      <font>
        <color rgb="FF9C0006"/>
      </font>
      <fill>
        <patternFill>
          <fgColor rgb="FF9C0006"/>
          <bgColor rgb="FFFFC7CE"/>
        </patternFill>
      </fill>
    </dxf>
    <dxf>
      <fill>
        <patternFill>
          <bgColor rgb="FFC6EFCE"/>
        </patternFill>
      </fill>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s>
  <tableStyles count="0" defaultTableStyle="TableStyleMedium2" defaultPivotStyle="PivotStyleLight16"/>
  <colors>
    <mruColors>
      <color rgb="FFFFF7D5"/>
      <color rgb="FFFFEB9C"/>
      <color rgb="FFC6EFCE"/>
      <color rgb="FFFFC7CE"/>
      <color rgb="FF9C0006"/>
      <color rgb="FF006100"/>
      <color rgb="FFF8696B"/>
      <color rgb="FF63BE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Benchmark</a:t>
            </a:r>
            <a:r>
              <a:rPr lang="en-GB" baseline="0"/>
              <a:t> - Wind onshore average capacity factor in Germany (</a:t>
            </a:r>
            <a:r>
              <a:rPr lang="fr-FR" sz="1400" b="0" i="0" u="none" strike="noStrike" baseline="0"/>
              <a:t>Apply filters directly to the Table to dynamically update the Graph)</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38334122086333916"/>
          <c:y val="0.12264113789119079"/>
          <c:w val="0.55592379817132975"/>
          <c:h val="0.85823945839503946"/>
        </c:manualLayout>
      </c:layout>
      <c:barChart>
        <c:barDir val="bar"/>
        <c:grouping val="clustered"/>
        <c:varyColors val="0"/>
        <c:ser>
          <c:idx val="0"/>
          <c:order val="0"/>
          <c:tx>
            <c:strRef>
              <c:f>'Ons. wind DE capacity factor'!$F$4</c:f>
              <c:strCache>
                <c:ptCount val="1"/>
                <c:pt idx="0">
                  <c:v>Value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'Ons. wind DE capacity factor'!$D$5:$E$28</c:f>
              <c:multiLvlStrCache>
                <c:ptCount val="24"/>
                <c:lvl>
                  <c:pt idx="0">
                    <c:v>PECD 3.1 (TYNDP 2024) - average of climate years 1982 to 2019 - for 2030-2040</c:v>
                  </c:pt>
                  <c:pt idx="1">
                    <c:v>PECD 3.1 (TYNDP 2024) - climate years 2009 - for 2030-2040</c:v>
                  </c:pt>
                  <c:pt idx="2">
                    <c:v>PECD 4 (ERAA 2024) - for 2035</c:v>
                  </c:pt>
                  <c:pt idx="3">
                    <c:v>PECD 4 (ERAA 2024) - for 2030</c:v>
                  </c:pt>
                  <c:pt idx="4">
                    <c:v>PECD 4 (ERAA 2024) - for 2028</c:v>
                  </c:pt>
                  <c:pt idx="5">
                    <c:v>PECD 4 (ERAA 2024) - for 2026</c:v>
                  </c:pt>
                  <c:pt idx="6">
                    <c:v>German Federal Ministry For Economic Affaires - German NECP - for 2030</c:v>
                  </c:pt>
                  <c:pt idx="7">
                    <c:v>EC Impact Assessment (2020) - Progress on competitiveness of clean energy technologies 2 &amp; 3 - Wind Power - for 2030</c:v>
                  </c:pt>
                  <c:pt idx="8">
                    <c:v>Power Statistics of 2020 to 2024 - for 2020-2024</c:v>
                  </c:pt>
                  <c:pt idx="9">
                    <c:v>Statistical Factsheet 2024</c:v>
                  </c:pt>
                  <c:pt idx="10">
                    <c:v>Status des Windenergieausbaus an Land in Deutschland, Jahr 2024 - for 2024</c:v>
                  </c:pt>
                  <c:pt idx="11">
                    <c:v>Report: full load hours of on-land wind turbines - development, influences, impacts - for New built in 2030 (lower bound)</c:v>
                  </c:pt>
                  <c:pt idx="12">
                    <c:v> (higher bound)</c:v>
                  </c:pt>
                  <c:pt idx="13">
                    <c:v>Bundesnetzagentur - Publication on 2024 electricity market data - for 2024</c:v>
                  </c:pt>
                  <c:pt idx="14">
                    <c:v>ENSPRESO 2 - for New built in 2030</c:v>
                  </c:pt>
                  <c:pt idx="15">
                    <c:v>ENSPRESO 1 - for 2030 (Artelys' estimate of the upper bound)</c:v>
                  </c:pt>
                  <c:pt idx="16">
                    <c:v>2022 Statistics and the outlook for 2023-2027 - for New built in 2030</c:v>
                  </c:pt>
                  <c:pt idx="17">
                    <c:v>2022 Statistics and the outlook for 2023-2027 - for 2030</c:v>
                  </c:pt>
                  <c:pt idx="18">
                    <c:v>2023 Statistics and the outlook for 2024-2030 - for New built in 2023 (lower bound)</c:v>
                  </c:pt>
                  <c:pt idx="19">
                    <c:v> (higher bound)</c:v>
                  </c:pt>
                  <c:pt idx="20">
                    <c:v> France renouvelables - Wind Observatory 2024 - for 2023</c:v>
                  </c:pt>
                  <c:pt idx="21">
                    <c:v> Stefan Pfenninger (TU Delft) and Iain Staffell (Imperial College London) - Renewables.ninja - for 2009-2019</c:v>
                  </c:pt>
                  <c:pt idx="22">
                    <c:v>NZZ - Press article: Windkraft in Deutschland: Grosse Versprechen, kleine Erträge (2022) - for 2022 (higher bound)</c:v>
                  </c:pt>
                  <c:pt idx="23">
                    <c:v>RTE - Electricity analysis and data, Annual capacity factor - for 2024</c:v>
                  </c:pt>
                </c:lvl>
                <c:lvl>
                  <c:pt idx="0">
                    <c:v>Copernicus</c:v>
                  </c:pt>
                  <c:pt idx="6">
                    <c:v> </c:v>
                  </c:pt>
                  <c:pt idx="7">
                    <c:v> </c:v>
                  </c:pt>
                  <c:pt idx="8">
                    <c:v>ENTSO-E</c:v>
                  </c:pt>
                  <c:pt idx="10">
                    <c:v>Deutsche WindGuard</c:v>
                  </c:pt>
                  <c:pt idx="13">
                    <c:v> </c:v>
                  </c:pt>
                  <c:pt idx="14">
                    <c:v>JRC</c:v>
                  </c:pt>
                  <c:pt idx="16">
                    <c:v>WindEurope Wind energy in Europe</c:v>
                  </c:pt>
                  <c:pt idx="20">
                    <c:v> </c:v>
                  </c:pt>
                  <c:pt idx="21">
                    <c:v> </c:v>
                  </c:pt>
                  <c:pt idx="22">
                    <c:v> </c:v>
                  </c:pt>
                  <c:pt idx="23">
                    <c:v> </c:v>
                  </c:pt>
                </c:lvl>
              </c:multiLvlStrCache>
            </c:multiLvlStrRef>
          </c:cat>
          <c:val>
            <c:numRef>
              <c:f>'Ons. wind DE capacity factor'!$F$5:$F$28</c:f>
              <c:numCache>
                <c:formatCode>0.00%</c:formatCode>
                <c:ptCount val="24"/>
                <c:pt idx="0">
                  <c:v>0.24959999999999999</c:v>
                </c:pt>
                <c:pt idx="1">
                  <c:v>0.23860000000000001</c:v>
                </c:pt>
                <c:pt idx="2">
                  <c:v>0.25240000000000001</c:v>
                </c:pt>
                <c:pt idx="3">
                  <c:v>0.2349</c:v>
                </c:pt>
                <c:pt idx="4">
                  <c:v>0.22520000000000001</c:v>
                </c:pt>
                <c:pt idx="5">
                  <c:v>0.2266</c:v>
                </c:pt>
                <c:pt idx="6" formatCode="0.0%">
                  <c:v>0.21</c:v>
                </c:pt>
                <c:pt idx="7" formatCode="0.0%">
                  <c:v>0.26400000000000001</c:v>
                </c:pt>
                <c:pt idx="8" formatCode="0.0%">
                  <c:v>0.21299999999999999</c:v>
                </c:pt>
                <c:pt idx="9" formatCode="0.0%">
                  <c:v>0.21327446195126368</c:v>
                </c:pt>
                <c:pt idx="10" formatCode="0.0%">
                  <c:v>0.20100000000000001</c:v>
                </c:pt>
                <c:pt idx="11" formatCode="0.0%">
                  <c:v>0.28082191780821919</c:v>
                </c:pt>
                <c:pt idx="12" formatCode="0.0%">
                  <c:v>0.3367579908675799</c:v>
                </c:pt>
                <c:pt idx="13" formatCode="0.0%">
                  <c:v>0.20116492287779097</c:v>
                </c:pt>
                <c:pt idx="14" formatCode="0.0%">
                  <c:v>0</c:v>
                </c:pt>
                <c:pt idx="15" formatCode="0%">
                  <c:v>0.24</c:v>
                </c:pt>
                <c:pt idx="16" formatCode="0%">
                  <c:v>0.35</c:v>
                </c:pt>
                <c:pt idx="17" formatCode="0%">
                  <c:v>0.27</c:v>
                </c:pt>
                <c:pt idx="18" formatCode="0%">
                  <c:v>0.3</c:v>
                </c:pt>
                <c:pt idx="19" formatCode="0%">
                  <c:v>0.35</c:v>
                </c:pt>
                <c:pt idx="20" formatCode="0%">
                  <c:v>0.23</c:v>
                </c:pt>
                <c:pt idx="21" formatCode="0.0%">
                  <c:v>0.1827</c:v>
                </c:pt>
                <c:pt idx="22" formatCode="0%">
                  <c:v>0.2</c:v>
                </c:pt>
                <c:pt idx="23" formatCode="0.0%">
                  <c:v>0.214</c:v>
                </c:pt>
              </c:numCache>
            </c:numRef>
          </c:val>
          <c:extLst>
            <c:ext xmlns:c16="http://schemas.microsoft.com/office/drawing/2014/chart" uri="{C3380CC4-5D6E-409C-BE32-E72D297353CC}">
              <c16:uniqueId val="{00000000-7BDD-47B7-82D2-92B2477216B9}"/>
            </c:ext>
          </c:extLst>
        </c:ser>
        <c:dLbls>
          <c:showLegendKey val="0"/>
          <c:showVal val="0"/>
          <c:showCatName val="0"/>
          <c:showSerName val="0"/>
          <c:showPercent val="0"/>
          <c:showBubbleSize val="0"/>
        </c:dLbls>
        <c:gapWidth val="64"/>
        <c:axId val="8588080"/>
        <c:axId val="8580880"/>
      </c:barChart>
      <c:catAx>
        <c:axId val="85880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80880"/>
        <c:crosses val="autoZero"/>
        <c:auto val="1"/>
        <c:lblAlgn val="ctr"/>
        <c:lblOffset val="100"/>
        <c:noMultiLvlLbl val="0"/>
      </c:catAx>
      <c:valAx>
        <c:axId val="8580880"/>
        <c:scaling>
          <c:orientation val="minMax"/>
          <c:max val="0.4"/>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880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Benchmark</a:t>
            </a:r>
            <a:r>
              <a:rPr lang="en-GB" baseline="0"/>
              <a:t> - Natural gas price (</a:t>
            </a:r>
            <a:r>
              <a:rPr lang="fr-FR" sz="1400" b="0" i="0" u="none" strike="noStrike" baseline="0"/>
              <a:t>Apply filters directly to the Table to dynamically update the Graph</a:t>
            </a:r>
            <a:r>
              <a:rPr lang="en-GB" baseline="0"/>
              <a:t>)</a:t>
            </a:r>
            <a:endParaRPr lang="en-GB"/>
          </a:p>
        </c:rich>
      </c:tx>
      <c:layout>
        <c:manualLayout>
          <c:xMode val="edge"/>
          <c:yMode val="edge"/>
          <c:x val="0.21676830403260106"/>
          <c:y val="7.5320551218330672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38334122086333916"/>
          <c:y val="0.12264113789119079"/>
          <c:w val="0.55592379817132975"/>
          <c:h val="0.85823945839503946"/>
        </c:manualLayout>
      </c:layout>
      <c:barChart>
        <c:barDir val="bar"/>
        <c:grouping val="clustered"/>
        <c:varyColors val="0"/>
        <c:ser>
          <c:idx val="0"/>
          <c:order val="0"/>
          <c:tx>
            <c:strRef>
              <c:f>'Commodity price - natural gas'!$F$5:$F$51</c:f>
              <c:strCache>
                <c:ptCount val="47"/>
                <c:pt idx="0">
                  <c:v>27</c:v>
                </c:pt>
                <c:pt idx="1">
                  <c:v>32.4</c:v>
                </c:pt>
                <c:pt idx="2">
                  <c:v>39.2</c:v>
                </c:pt>
                <c:pt idx="3">
                  <c:v>64.4</c:v>
                </c:pt>
                <c:pt idx="4">
                  <c:v>35.3</c:v>
                </c:pt>
                <c:pt idx="5">
                  <c:v>56.9</c:v>
                </c:pt>
                <c:pt idx="6">
                  <c:v>22.7</c:v>
                </c:pt>
                <c:pt idx="7">
                  <c:v>20.5</c:v>
                </c:pt>
                <c:pt idx="8">
                  <c:v>18</c:v>
                </c:pt>
                <c:pt idx="9">
                  <c:v>67.7</c:v>
                </c:pt>
                <c:pt idx="10">
                  <c:v>64.8</c:v>
                </c:pt>
                <c:pt idx="11">
                  <c:v>62.3</c:v>
                </c:pt>
                <c:pt idx="12">
                  <c:v>22.4</c:v>
                </c:pt>
                <c:pt idx="13">
                  <c:v>26.2</c:v>
                </c:pt>
                <c:pt idx="14">
                  <c:v>26.6</c:v>
                </c:pt>
                <c:pt idx="15">
                  <c:v>20.7</c:v>
                </c:pt>
                <c:pt idx="16">
                  <c:v>17.9</c:v>
                </c:pt>
                <c:pt idx="17">
                  <c:v>17.9</c:v>
                </c:pt>
                <c:pt idx="18">
                  <c:v>15.2</c:v>
                </c:pt>
                <c:pt idx="19">
                  <c:v>14.1</c:v>
                </c:pt>
                <c:pt idx="20">
                  <c:v>13.8</c:v>
                </c:pt>
                <c:pt idx="21">
                  <c:v>32.4</c:v>
                </c:pt>
                <c:pt idx="22">
                  <c:v>36.3</c:v>
                </c:pt>
                <c:pt idx="23">
                  <c:v>34.6</c:v>
                </c:pt>
                <c:pt idx="24">
                  <c:v>24.5</c:v>
                </c:pt>
                <c:pt idx="25">
                  <c:v>45.4</c:v>
                </c:pt>
                <c:pt idx="26">
                  <c:v>24.1</c:v>
                </c:pt>
                <c:pt idx="27">
                  <c:v>45.4</c:v>
                </c:pt>
                <c:pt idx="28">
                  <c:v>22</c:v>
                </c:pt>
                <c:pt idx="29">
                  <c:v>47.5</c:v>
                </c:pt>
                <c:pt idx="30">
                  <c:v>13.5</c:v>
                </c:pt>
                <c:pt idx="31">
                  <c:v>10.95</c:v>
                </c:pt>
                <c:pt idx="32">
                  <c:v>12.9</c:v>
                </c:pt>
                <c:pt idx="33">
                  <c:v>12.9</c:v>
                </c:pt>
                <c:pt idx="34">
                  <c:v>32.1</c:v>
                </c:pt>
                <c:pt idx="35">
                  <c:v>23.55</c:v>
                </c:pt>
                <c:pt idx="36">
                  <c:v>24.9</c:v>
                </c:pt>
                <c:pt idx="37">
                  <c:v>24.6</c:v>
                </c:pt>
                <c:pt idx="38">
                  <c:v>15.4</c:v>
                </c:pt>
                <c:pt idx="39">
                  <c:v>24.6</c:v>
                </c:pt>
                <c:pt idx="40">
                  <c:v>30.7</c:v>
                </c:pt>
                <c:pt idx="41">
                  <c:v>18.4</c:v>
                </c:pt>
                <c:pt idx="42">
                  <c:v>27.6</c:v>
                </c:pt>
                <c:pt idx="43">
                  <c:v>14.7</c:v>
                </c:pt>
                <c:pt idx="44">
                  <c:v>25</c:v>
                </c:pt>
                <c:pt idx="45">
                  <c:v>34</c:v>
                </c:pt>
                <c:pt idx="46">
                  <c:v>38</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'Commodity price - natural gas'!$D$5:$E$51</c:f>
              <c:multiLvlStrCache>
                <c:ptCount val="47"/>
                <c:lvl>
                  <c:pt idx="0">
                    <c:v>Scenario NT+ - gas blend - for 2030</c:v>
                  </c:pt>
                  <c:pt idx="1">
                    <c:v>Scenario NT+ - gas blend - for 2040</c:v>
                  </c:pt>
                  <c:pt idx="2">
                    <c:v>Scenario DE - gas blend - for 2040</c:v>
                  </c:pt>
                  <c:pt idx="3">
                    <c:v>Scenario DE - gas blend - for 2050</c:v>
                  </c:pt>
                  <c:pt idx="4">
                    <c:v>Scenario GA - gas blend - for 2040</c:v>
                  </c:pt>
                  <c:pt idx="5">
                    <c:v>Scenario GA - gas blend - for 2050</c:v>
                  </c:pt>
                  <c:pt idx="6">
                    <c:v>All scenarios - natural gas - for 2030</c:v>
                  </c:pt>
                  <c:pt idx="7">
                    <c:v>All scenarios - natural gas - for 2040</c:v>
                  </c:pt>
                  <c:pt idx="8">
                    <c:v>All scenarios - natural gas - for 2050</c:v>
                  </c:pt>
                  <c:pt idx="9">
                    <c:v>All scenarios - biomethane - for 2030</c:v>
                  </c:pt>
                  <c:pt idx="10">
                    <c:v>All scenarios - biomethane - for 2040</c:v>
                  </c:pt>
                  <c:pt idx="11">
                    <c:v>All scenarios - biomethane - for 2050</c:v>
                  </c:pt>
                  <c:pt idx="12">
                    <c:v>Scenario STEPS - for 2030</c:v>
                  </c:pt>
                  <c:pt idx="13">
                    <c:v>Scenario STEPS - for 2040</c:v>
                  </c:pt>
                  <c:pt idx="14">
                    <c:v>Scenario STEPS - for 2050</c:v>
                  </c:pt>
                  <c:pt idx="15">
                    <c:v>Scenario APS - for 2030</c:v>
                  </c:pt>
                  <c:pt idx="16">
                    <c:v>Scenario APS - for 2040</c:v>
                  </c:pt>
                  <c:pt idx="17">
                    <c:v>Scenario APS - for 2050</c:v>
                  </c:pt>
                  <c:pt idx="18">
                    <c:v>Scenario NZE - for 2030</c:v>
                  </c:pt>
                  <c:pt idx="19">
                    <c:v>Scenario NZE - for 2040</c:v>
                  </c:pt>
                  <c:pt idx="20">
                    <c:v>Scenario NZE - for 2050</c:v>
                  </c:pt>
                  <c:pt idx="21">
                    <c:v>Recommended parameters for GHG projections - for 2030</c:v>
                  </c:pt>
                  <c:pt idx="22">
                    <c:v>Recommended parameters for GHG projections - for 2040</c:v>
                  </c:pt>
                  <c:pt idx="23">
                    <c:v>Recommended parameters for GHG projections - for 2050</c:v>
                  </c:pt>
                  <c:pt idx="24">
                    <c:v>Recommended parameters for GHG projections - for 2030 (Lower bound)</c:v>
                  </c:pt>
                  <c:pt idx="25">
                    <c:v>Recommended parameters for GHG projections - for 2030 (Upper bound)</c:v>
                  </c:pt>
                  <c:pt idx="26">
                    <c:v>Recommended parameters for GHG projections - for 2040 (Lower bound)</c:v>
                  </c:pt>
                  <c:pt idx="27">
                    <c:v>Recommended parameters for GHG projections - for 2040 (Upper bound)</c:v>
                  </c:pt>
                  <c:pt idx="28">
                    <c:v>Recommended parameters for GHG projections - for 2050 (Lower bound)</c:v>
                  </c:pt>
                  <c:pt idx="29">
                    <c:v>Recommended parameters for GHG projections - for 2050 (Upper bound)</c:v>
                  </c:pt>
                  <c:pt idx="30">
                    <c:v>Report: Energy, oil, and gas price forecast  - for 2030</c:v>
                  </c:pt>
                  <c:pt idx="31">
                    <c:v>Report: Energy, oil, and gas price forecast  - for 2030</c:v>
                  </c:pt>
                  <c:pt idx="32">
                    <c:v>Report: Energy, oil, and gas price forecast  - for 2030</c:v>
                  </c:pt>
                  <c:pt idx="33">
                    <c:v>Report: Energy, oil, and gas price forecast  - for 2030</c:v>
                  </c:pt>
                  <c:pt idx="34">
                    <c:v>Report: Energy, oil, and gas price forecast  - for 2030</c:v>
                  </c:pt>
                  <c:pt idx="35">
                    <c:v>Report: Energy, oil, and gas price forecast  - for 2030</c:v>
                  </c:pt>
                  <c:pt idx="36">
                    <c:v>Elia - Adequacy and Flexibility study 2024-2034 - CENTRAL scenario and data - for 2030</c:v>
                  </c:pt>
                  <c:pt idx="37">
                    <c:v>NDC based scenario - for 2030</c:v>
                  </c:pt>
                  <c:pt idx="38">
                    <c:v>NDC based scenario - for 2030</c:v>
                  </c:pt>
                  <c:pt idx="39">
                    <c:v>NDC based scenario - for 2030</c:v>
                  </c:pt>
                  <c:pt idx="40">
                    <c:v>NDC based scenario - for 2040</c:v>
                  </c:pt>
                  <c:pt idx="41">
                    <c:v>NDC based scenario - for 2040</c:v>
                  </c:pt>
                  <c:pt idx="42">
                    <c:v>NDC based scenario - for 2040</c:v>
                  </c:pt>
                  <c:pt idx="43">
                    <c:v>U.S. Energy Information Administration - Short-Term Energy Outlook, May 2025 - for 2026</c:v>
                  </c:pt>
                  <c:pt idx="44">
                    <c:v>Mean traded value on the 2 years market from January 2025 to May 2025 for Summer 2028 - for 2028</c:v>
                  </c:pt>
                  <c:pt idx="45">
                    <c:v>Mean traded value on the 2 years market from January 2025 to May 2025 for Winter 2028 - for 2028</c:v>
                  </c:pt>
                  <c:pt idx="46">
                    <c:v>Mean traded value on the intraday market from January 2025 to May 2025 for Winter 2025 - for 2025</c:v>
                  </c:pt>
                </c:lvl>
                <c:lvl>
                  <c:pt idx="0">
                    <c:v>TYNDP 2024, Scenarios methodology report</c:v>
                  </c:pt>
                  <c:pt idx="12">
                    <c:v>IEA's Global Energy and Climate Model 2024</c:v>
                  </c:pt>
                  <c:pt idx="21">
                    <c:v>European Commission</c:v>
                  </c:pt>
                  <c:pt idx="30">
                    <c:v>Deloitte Canada</c:v>
                  </c:pt>
                  <c:pt idx="36">
                    <c:v> </c:v>
                  </c:pt>
                  <c:pt idx="37">
                    <c:v>Enerdata, Asian and European gas prices will converge by 2030, Executive Brief</c:v>
                  </c:pt>
                  <c:pt idx="43">
                    <c:v> </c:v>
                  </c:pt>
                  <c:pt idx="44">
                    <c:v>ICE Endex, Dutch TTF Natural Gas Futures</c:v>
                  </c:pt>
                </c:lvl>
              </c:multiLvlStrCache>
            </c:multiLvlStrRef>
          </c:cat>
          <c:val>
            <c:numRef>
              <c:f>'Commodity price - natural gas'!$F$5:$F$51</c:f>
              <c:numCache>
                <c:formatCode>General</c:formatCode>
                <c:ptCount val="47"/>
                <c:pt idx="0">
                  <c:v>27</c:v>
                </c:pt>
                <c:pt idx="1">
                  <c:v>32.4</c:v>
                </c:pt>
                <c:pt idx="2">
                  <c:v>39.200000000000003</c:v>
                </c:pt>
                <c:pt idx="3">
                  <c:v>64.400000000000006</c:v>
                </c:pt>
                <c:pt idx="4">
                  <c:v>35.299999999999997</c:v>
                </c:pt>
                <c:pt idx="5">
                  <c:v>56.9</c:v>
                </c:pt>
                <c:pt idx="6">
                  <c:v>22.7</c:v>
                </c:pt>
                <c:pt idx="7">
                  <c:v>20.5</c:v>
                </c:pt>
                <c:pt idx="8">
                  <c:v>18</c:v>
                </c:pt>
                <c:pt idx="9">
                  <c:v>67.7</c:v>
                </c:pt>
                <c:pt idx="10">
                  <c:v>64.8</c:v>
                </c:pt>
                <c:pt idx="11">
                  <c:v>62.3</c:v>
                </c:pt>
                <c:pt idx="12" formatCode="0.0">
                  <c:v>22.413793103448278</c:v>
                </c:pt>
                <c:pt idx="13" formatCode="0.0">
                  <c:v>26.206896551724139</c:v>
                </c:pt>
                <c:pt idx="14" formatCode="0.0">
                  <c:v>26.551724137931036</c:v>
                </c:pt>
                <c:pt idx="15" formatCode="0.0">
                  <c:v>20.689655172413794</c:v>
                </c:pt>
                <c:pt idx="16" formatCode="0.0">
                  <c:v>17.931034482758623</c:v>
                </c:pt>
                <c:pt idx="17" formatCode="0.0">
                  <c:v>17.931034482758623</c:v>
                </c:pt>
                <c:pt idx="18" formatCode="0.0">
                  <c:v>15.17241379310345</c:v>
                </c:pt>
                <c:pt idx="19" formatCode="0.0">
                  <c:v>14.137931034482758</c:v>
                </c:pt>
                <c:pt idx="20" formatCode="0.0">
                  <c:v>13.793103448275863</c:v>
                </c:pt>
                <c:pt idx="21">
                  <c:v>32.4</c:v>
                </c:pt>
                <c:pt idx="22">
                  <c:v>36.299999999999997</c:v>
                </c:pt>
                <c:pt idx="23">
                  <c:v>34.6</c:v>
                </c:pt>
                <c:pt idx="24">
                  <c:v>24.5</c:v>
                </c:pt>
                <c:pt idx="25">
                  <c:v>45.4</c:v>
                </c:pt>
                <c:pt idx="26">
                  <c:v>24.1</c:v>
                </c:pt>
                <c:pt idx="27">
                  <c:v>45.4</c:v>
                </c:pt>
                <c:pt idx="28">
                  <c:v>22</c:v>
                </c:pt>
                <c:pt idx="29">
                  <c:v>47.5</c:v>
                </c:pt>
                <c:pt idx="30">
                  <c:v>13.5</c:v>
                </c:pt>
                <c:pt idx="31">
                  <c:v>10.950000000000001</c:v>
                </c:pt>
                <c:pt idx="32">
                  <c:v>12.9</c:v>
                </c:pt>
                <c:pt idx="33">
                  <c:v>12.9</c:v>
                </c:pt>
                <c:pt idx="34">
                  <c:v>32.1</c:v>
                </c:pt>
                <c:pt idx="35">
                  <c:v>23.55</c:v>
                </c:pt>
                <c:pt idx="36">
                  <c:v>24.9</c:v>
                </c:pt>
                <c:pt idx="37">
                  <c:v>24.6</c:v>
                </c:pt>
                <c:pt idx="38">
                  <c:v>15.4</c:v>
                </c:pt>
                <c:pt idx="39">
                  <c:v>24.6</c:v>
                </c:pt>
                <c:pt idx="40">
                  <c:v>30.7</c:v>
                </c:pt>
                <c:pt idx="41">
                  <c:v>18.399999999999999</c:v>
                </c:pt>
                <c:pt idx="42">
                  <c:v>27.6</c:v>
                </c:pt>
                <c:pt idx="43">
                  <c:v>14.7</c:v>
                </c:pt>
                <c:pt idx="44">
                  <c:v>25</c:v>
                </c:pt>
                <c:pt idx="45">
                  <c:v>34</c:v>
                </c:pt>
                <c:pt idx="46">
                  <c:v>38</c:v>
                </c:pt>
              </c:numCache>
            </c:numRef>
          </c:val>
          <c:extLst>
            <c:ext xmlns:c16="http://schemas.microsoft.com/office/drawing/2014/chart" uri="{C3380CC4-5D6E-409C-BE32-E72D297353CC}">
              <c16:uniqueId val="{00000000-199E-4A29-89AA-E766516F84E0}"/>
            </c:ext>
          </c:extLst>
        </c:ser>
        <c:dLbls>
          <c:showLegendKey val="0"/>
          <c:showVal val="0"/>
          <c:showCatName val="0"/>
          <c:showSerName val="0"/>
          <c:showPercent val="0"/>
          <c:showBubbleSize val="0"/>
        </c:dLbls>
        <c:gapWidth val="64"/>
        <c:axId val="8588080"/>
        <c:axId val="8580880"/>
      </c:barChart>
      <c:catAx>
        <c:axId val="85880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80880"/>
        <c:crosses val="autoZero"/>
        <c:auto val="1"/>
        <c:lblAlgn val="ctr"/>
        <c:lblOffset val="100"/>
        <c:noMultiLvlLbl val="0"/>
      </c:catAx>
      <c:valAx>
        <c:axId val="8580880"/>
        <c:scaling>
          <c:orientation val="minMax"/>
          <c:max val="7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Price (€/MWh LHV)</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880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Benchmark -</a:t>
            </a:r>
            <a:r>
              <a:rPr lang="fr-FR" baseline="0"/>
              <a:t> Natural gas prices</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0"/>
          <c:order val="0"/>
          <c:tx>
            <c:strRef>
              <c:f>'Commodity price - natural gas'!$A$5:$A$16</c:f>
              <c:strCache>
                <c:ptCount val="12"/>
                <c:pt idx="0">
                  <c:v>TYNDP 2024, Scenarios methodology report</c:v>
                </c:pt>
              </c:strCache>
            </c:strRef>
          </c:tx>
          <c:spPr>
            <a:ln w="25400" cap="rnd">
              <a:noFill/>
              <a:round/>
            </a:ln>
            <a:effectLst/>
          </c:spPr>
          <c:marker>
            <c:symbol val="star"/>
            <c:size val="5"/>
            <c:spPr>
              <a:noFill/>
              <a:ln w="9525">
                <a:solidFill>
                  <a:schemeClr val="accent1"/>
                </a:solidFill>
              </a:ln>
              <a:effectLst/>
            </c:spPr>
          </c:marker>
          <c:xVal>
            <c:numRef>
              <c:f>'Commodity price - natural gas'!$N$5:$N$16</c:f>
              <c:numCache>
                <c:formatCode>General</c:formatCode>
                <c:ptCount val="12"/>
                <c:pt idx="0">
                  <c:v>2030</c:v>
                </c:pt>
                <c:pt idx="1">
                  <c:v>2040</c:v>
                </c:pt>
                <c:pt idx="2">
                  <c:v>2040</c:v>
                </c:pt>
                <c:pt idx="3">
                  <c:v>2050</c:v>
                </c:pt>
                <c:pt idx="4">
                  <c:v>2040</c:v>
                </c:pt>
                <c:pt idx="5">
                  <c:v>2050</c:v>
                </c:pt>
                <c:pt idx="6">
                  <c:v>2030</c:v>
                </c:pt>
                <c:pt idx="7">
                  <c:v>2040</c:v>
                </c:pt>
                <c:pt idx="8">
                  <c:v>2050</c:v>
                </c:pt>
                <c:pt idx="9">
                  <c:v>2030</c:v>
                </c:pt>
                <c:pt idx="10">
                  <c:v>2040</c:v>
                </c:pt>
                <c:pt idx="11">
                  <c:v>2050</c:v>
                </c:pt>
              </c:numCache>
            </c:numRef>
          </c:xVal>
          <c:yVal>
            <c:numRef>
              <c:f>'Commodity price - natural gas'!$F$5:$F$16</c:f>
              <c:numCache>
                <c:formatCode>General</c:formatCode>
                <c:ptCount val="12"/>
                <c:pt idx="0">
                  <c:v>27</c:v>
                </c:pt>
                <c:pt idx="1">
                  <c:v>32.4</c:v>
                </c:pt>
                <c:pt idx="2">
                  <c:v>39.200000000000003</c:v>
                </c:pt>
                <c:pt idx="3">
                  <c:v>64.400000000000006</c:v>
                </c:pt>
                <c:pt idx="4">
                  <c:v>35.299999999999997</c:v>
                </c:pt>
                <c:pt idx="5">
                  <c:v>56.9</c:v>
                </c:pt>
                <c:pt idx="6">
                  <c:v>22.7</c:v>
                </c:pt>
                <c:pt idx="7">
                  <c:v>20.5</c:v>
                </c:pt>
                <c:pt idx="8">
                  <c:v>18</c:v>
                </c:pt>
                <c:pt idx="9">
                  <c:v>67.7</c:v>
                </c:pt>
                <c:pt idx="10">
                  <c:v>64.8</c:v>
                </c:pt>
                <c:pt idx="11">
                  <c:v>62.3</c:v>
                </c:pt>
              </c:numCache>
            </c:numRef>
          </c:yVal>
          <c:smooth val="0"/>
          <c:extLst>
            <c:ext xmlns:c16="http://schemas.microsoft.com/office/drawing/2014/chart" uri="{C3380CC4-5D6E-409C-BE32-E72D297353CC}">
              <c16:uniqueId val="{00000000-66FE-4307-8323-BFE464FA89CD}"/>
            </c:ext>
          </c:extLst>
        </c:ser>
        <c:ser>
          <c:idx val="1"/>
          <c:order val="1"/>
          <c:tx>
            <c:strRef>
              <c:f>'Commodity price - natural gas'!$A$17:$A$25</c:f>
              <c:strCache>
                <c:ptCount val="9"/>
                <c:pt idx="0">
                  <c:v>IEA's Global Energy and Climate Model 2024</c:v>
                </c:pt>
              </c:strCache>
            </c:strRef>
          </c:tx>
          <c:spPr>
            <a:ln w="25400" cap="rnd">
              <a:noFill/>
              <a:round/>
            </a:ln>
            <a:effectLst/>
          </c:spPr>
          <c:marker>
            <c:symbol val="circle"/>
            <c:size val="5"/>
            <c:spPr>
              <a:solidFill>
                <a:schemeClr val="accent2"/>
              </a:solidFill>
              <a:ln w="9525">
                <a:solidFill>
                  <a:schemeClr val="accent2"/>
                </a:solidFill>
              </a:ln>
              <a:effectLst/>
            </c:spPr>
          </c:marker>
          <c:xVal>
            <c:numRef>
              <c:f>'Commodity price - natural gas'!$N$17:$N$25</c:f>
              <c:numCache>
                <c:formatCode>General</c:formatCode>
                <c:ptCount val="9"/>
                <c:pt idx="0">
                  <c:v>2030</c:v>
                </c:pt>
                <c:pt idx="1">
                  <c:v>2040</c:v>
                </c:pt>
                <c:pt idx="2">
                  <c:v>2050</c:v>
                </c:pt>
                <c:pt idx="3">
                  <c:v>2030</c:v>
                </c:pt>
                <c:pt idx="4">
                  <c:v>2040</c:v>
                </c:pt>
                <c:pt idx="5">
                  <c:v>2050</c:v>
                </c:pt>
                <c:pt idx="6">
                  <c:v>2030</c:v>
                </c:pt>
                <c:pt idx="7">
                  <c:v>2040</c:v>
                </c:pt>
                <c:pt idx="8">
                  <c:v>2050</c:v>
                </c:pt>
              </c:numCache>
            </c:numRef>
          </c:xVal>
          <c:yVal>
            <c:numRef>
              <c:f>'Commodity price - natural gas'!$F$17:$F$25</c:f>
              <c:numCache>
                <c:formatCode>0.0</c:formatCode>
                <c:ptCount val="9"/>
                <c:pt idx="0">
                  <c:v>22.413793103448278</c:v>
                </c:pt>
                <c:pt idx="1">
                  <c:v>26.206896551724139</c:v>
                </c:pt>
                <c:pt idx="2">
                  <c:v>26.551724137931036</c:v>
                </c:pt>
                <c:pt idx="3">
                  <c:v>20.689655172413794</c:v>
                </c:pt>
                <c:pt idx="4">
                  <c:v>17.931034482758623</c:v>
                </c:pt>
                <c:pt idx="5">
                  <c:v>17.931034482758623</c:v>
                </c:pt>
                <c:pt idx="6">
                  <c:v>15.17241379310345</c:v>
                </c:pt>
                <c:pt idx="7">
                  <c:v>14.137931034482758</c:v>
                </c:pt>
                <c:pt idx="8">
                  <c:v>13.793103448275863</c:v>
                </c:pt>
              </c:numCache>
            </c:numRef>
          </c:yVal>
          <c:smooth val="0"/>
          <c:extLst>
            <c:ext xmlns:c16="http://schemas.microsoft.com/office/drawing/2014/chart" uri="{C3380CC4-5D6E-409C-BE32-E72D297353CC}">
              <c16:uniqueId val="{00000001-66FE-4307-8323-BFE464FA89CD}"/>
            </c:ext>
          </c:extLst>
        </c:ser>
        <c:ser>
          <c:idx val="2"/>
          <c:order val="2"/>
          <c:tx>
            <c:strRef>
              <c:f>'Commodity price - natural gas'!$A$26:$A$34</c:f>
              <c:strCache>
                <c:ptCount val="9"/>
                <c:pt idx="0">
                  <c:v>European Commission</c:v>
                </c:pt>
              </c:strCache>
            </c:strRef>
          </c:tx>
          <c:spPr>
            <a:ln w="25400" cap="rnd">
              <a:noFill/>
              <a:round/>
            </a:ln>
            <a:effectLst/>
          </c:spPr>
          <c:marker>
            <c:symbol val="diamond"/>
            <c:size val="5"/>
            <c:spPr>
              <a:solidFill>
                <a:schemeClr val="accent3"/>
              </a:solidFill>
              <a:ln w="9525">
                <a:solidFill>
                  <a:schemeClr val="accent3"/>
                </a:solidFill>
              </a:ln>
              <a:effectLst/>
            </c:spPr>
          </c:marker>
          <c:xVal>
            <c:numRef>
              <c:f>'Commodity price - natural gas'!$N$26:$N$28</c:f>
              <c:numCache>
                <c:formatCode>General</c:formatCode>
                <c:ptCount val="3"/>
                <c:pt idx="0">
                  <c:v>2030</c:v>
                </c:pt>
                <c:pt idx="1">
                  <c:v>2040</c:v>
                </c:pt>
                <c:pt idx="2">
                  <c:v>2050</c:v>
                </c:pt>
              </c:numCache>
            </c:numRef>
          </c:xVal>
          <c:yVal>
            <c:numRef>
              <c:f>'Commodity price - natural gas'!$F$26:$F$28</c:f>
              <c:numCache>
                <c:formatCode>General</c:formatCode>
                <c:ptCount val="3"/>
                <c:pt idx="0">
                  <c:v>32.4</c:v>
                </c:pt>
                <c:pt idx="1">
                  <c:v>36.299999999999997</c:v>
                </c:pt>
                <c:pt idx="2">
                  <c:v>34.6</c:v>
                </c:pt>
              </c:numCache>
            </c:numRef>
          </c:yVal>
          <c:smooth val="0"/>
          <c:extLst>
            <c:ext xmlns:c16="http://schemas.microsoft.com/office/drawing/2014/chart" uri="{C3380CC4-5D6E-409C-BE32-E72D297353CC}">
              <c16:uniqueId val="{00000002-66FE-4307-8323-BFE464FA89CD}"/>
            </c:ext>
          </c:extLst>
        </c:ser>
        <c:ser>
          <c:idx val="3"/>
          <c:order val="3"/>
          <c:tx>
            <c:v>Other sources</c:v>
          </c:tx>
          <c:spPr>
            <a:ln w="25400" cap="rnd">
              <a:noFill/>
              <a:round/>
            </a:ln>
            <a:effectLst/>
          </c:spPr>
          <c:marker>
            <c:symbol val="circle"/>
            <c:size val="5"/>
            <c:spPr>
              <a:solidFill>
                <a:schemeClr val="accent4"/>
              </a:solidFill>
              <a:ln w="9525">
                <a:solidFill>
                  <a:schemeClr val="accent4"/>
                </a:solidFill>
              </a:ln>
              <a:effectLst/>
            </c:spPr>
          </c:marker>
          <c:xVal>
            <c:numRef>
              <c:f>'Commodity price - natural gas'!$N$35:$N$51</c:f>
              <c:numCache>
                <c:formatCode>General</c:formatCode>
                <c:ptCount val="17"/>
                <c:pt idx="0">
                  <c:v>2030</c:v>
                </c:pt>
                <c:pt idx="1">
                  <c:v>2030</c:v>
                </c:pt>
                <c:pt idx="2">
                  <c:v>2030</c:v>
                </c:pt>
                <c:pt idx="3">
                  <c:v>2030</c:v>
                </c:pt>
                <c:pt idx="4">
                  <c:v>2030</c:v>
                </c:pt>
                <c:pt idx="5">
                  <c:v>2030</c:v>
                </c:pt>
                <c:pt idx="6">
                  <c:v>2030</c:v>
                </c:pt>
                <c:pt idx="7">
                  <c:v>2030</c:v>
                </c:pt>
                <c:pt idx="8">
                  <c:v>2030</c:v>
                </c:pt>
                <c:pt idx="9">
                  <c:v>2030</c:v>
                </c:pt>
                <c:pt idx="10">
                  <c:v>2040</c:v>
                </c:pt>
                <c:pt idx="11">
                  <c:v>2040</c:v>
                </c:pt>
                <c:pt idx="12">
                  <c:v>2040</c:v>
                </c:pt>
                <c:pt idx="13" formatCode="@">
                  <c:v>2026</c:v>
                </c:pt>
                <c:pt idx="14" formatCode="@">
                  <c:v>2028</c:v>
                </c:pt>
                <c:pt idx="15" formatCode="@">
                  <c:v>2028</c:v>
                </c:pt>
                <c:pt idx="16" formatCode="@">
                  <c:v>2025</c:v>
                </c:pt>
              </c:numCache>
            </c:numRef>
          </c:xVal>
          <c:yVal>
            <c:numRef>
              <c:f>'Commodity price - natural gas'!$F$35:$F$51</c:f>
              <c:numCache>
                <c:formatCode>General</c:formatCode>
                <c:ptCount val="17"/>
                <c:pt idx="0">
                  <c:v>13.5</c:v>
                </c:pt>
                <c:pt idx="1">
                  <c:v>10.950000000000001</c:v>
                </c:pt>
                <c:pt idx="2">
                  <c:v>12.9</c:v>
                </c:pt>
                <c:pt idx="3">
                  <c:v>12.9</c:v>
                </c:pt>
                <c:pt idx="4">
                  <c:v>32.1</c:v>
                </c:pt>
                <c:pt idx="5">
                  <c:v>23.55</c:v>
                </c:pt>
                <c:pt idx="6">
                  <c:v>24.9</c:v>
                </c:pt>
                <c:pt idx="7">
                  <c:v>24.6</c:v>
                </c:pt>
                <c:pt idx="8">
                  <c:v>15.4</c:v>
                </c:pt>
                <c:pt idx="9">
                  <c:v>24.6</c:v>
                </c:pt>
                <c:pt idx="10">
                  <c:v>30.7</c:v>
                </c:pt>
                <c:pt idx="11">
                  <c:v>18.399999999999999</c:v>
                </c:pt>
                <c:pt idx="12">
                  <c:v>27.6</c:v>
                </c:pt>
                <c:pt idx="13">
                  <c:v>14.7</c:v>
                </c:pt>
                <c:pt idx="14">
                  <c:v>25</c:v>
                </c:pt>
                <c:pt idx="15">
                  <c:v>34</c:v>
                </c:pt>
                <c:pt idx="16">
                  <c:v>38</c:v>
                </c:pt>
              </c:numCache>
            </c:numRef>
          </c:yVal>
          <c:smooth val="0"/>
          <c:extLst>
            <c:ext xmlns:c16="http://schemas.microsoft.com/office/drawing/2014/chart" uri="{C3380CC4-5D6E-409C-BE32-E72D297353CC}">
              <c16:uniqueId val="{00000003-66FE-4307-8323-BFE464FA89CD}"/>
            </c:ext>
          </c:extLst>
        </c:ser>
        <c:dLbls>
          <c:showLegendKey val="0"/>
          <c:showVal val="0"/>
          <c:showCatName val="0"/>
          <c:showSerName val="0"/>
          <c:showPercent val="0"/>
          <c:showBubbleSize val="0"/>
        </c:dLbls>
        <c:axId val="1840571903"/>
        <c:axId val="1840570943"/>
      </c:scatterChart>
      <c:valAx>
        <c:axId val="184057190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0570943"/>
        <c:crosses val="autoZero"/>
        <c:crossBetween val="midCat"/>
      </c:valAx>
      <c:valAx>
        <c:axId val="18405709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Pirce (€/MWh LHV)</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0571903"/>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[Artelys - ACER TYNDP ERAA - Validation of scenarios inputs.xlsx]CAPEX H2 transmissions!Tableau croisé dynamique1</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41152756437062127"/>
          <c:y val="2.272747573381588E-2"/>
          <c:w val="0.42142807063283239"/>
          <c:h val="0.92269884369097077"/>
        </c:manualLayout>
      </c:layout>
      <c:barChart>
        <c:barDir val="bar"/>
        <c:grouping val="clustered"/>
        <c:varyColors val="0"/>
        <c:ser>
          <c:idx val="0"/>
          <c:order val="0"/>
          <c:tx>
            <c:strRef>
              <c:f>'CAPEX H2 transmissions'!$AA$45:$AA$46</c:f>
              <c:strCache>
                <c:ptCount val="1"/>
                <c:pt idx="0">
                  <c:v>50% L-pipes, 35% M-pipes and 15% S-pipes</c:v>
                </c:pt>
              </c:strCache>
            </c:strRef>
          </c:tx>
          <c:spPr>
            <a:solidFill>
              <a:schemeClr val="accent1"/>
            </a:solidFill>
            <a:ln>
              <a:noFill/>
            </a:ln>
            <a:effectLst/>
          </c:spPr>
          <c:invertIfNegative val="0"/>
          <c:cat>
            <c:multiLvlStrRef>
              <c:f>'CAPEX H2 transmissions'!$Z$47:$Z$63</c:f>
              <c:multiLvlStrCache>
                <c:ptCount val="10"/>
                <c:lvl>
                  <c:pt idx="0">
                    <c:v>Assessment of connection concepts for Germany’s far out North Sea offshore wind areas</c:v>
                  </c:pt>
                  <c:pt idx="1">
                    <c:v>Report: HyWay 27: hydrogen transmission using the existing natural gas grid?</c:v>
                  </c:pt>
                  <c:pt idx="2">
                    <c:v>(Cited by DNV)</c:v>
                  </c:pt>
                  <c:pt idx="3">
                    <c:v> Technical Brief, The Techno-Economics of Hydrogen Pipelines</c:v>
                  </c:pt>
                  <c:pt idx="4">
                    <c:v>(Cited by DNV)</c:v>
                  </c:pt>
                  <c:pt idx="5">
                    <c:v>(Cited by DNV)</c:v>
                  </c:pt>
                  <c:pt idx="6">
                    <c:v>EHB 2023: Implementation roadmap (mainly)</c:v>
                  </c:pt>
                  <c:pt idx="7">
                    <c:v>Values provided border by border (p. 107 / unit conversion &amp; average: Artelys)</c:v>
                  </c:pt>
                  <c:pt idx="8">
                    <c:v>Values provided in €/km for different pipeline sizes (p. 52 / units conversions: Artelys)</c:v>
                  </c:pt>
                  <c:pt idx="9">
                    <c:v>Values provided directly in €/MW/km (p. 104)</c:v>
                  </c:pt>
                </c:lvl>
                <c:lvl>
                  <c:pt idx="0">
                    <c:v>E-Bridge</c:v>
                  </c:pt>
                  <c:pt idx="1">
                    <c:v>Strategy&amp;</c:v>
                  </c:pt>
                  <c:pt idx="2">
                    <c:v>TNO</c:v>
                  </c:pt>
                  <c:pt idx="3">
                    <c:v>Transition Accelerator</c:v>
                  </c:pt>
                  <c:pt idx="4">
                    <c:v>NSWPH</c:v>
                  </c:pt>
                  <c:pt idx="5">
                    <c:v>EHB</c:v>
                  </c:pt>
                  <c:pt idx="7">
                    <c:v>TYNDP 2024</c:v>
                  </c:pt>
                </c:lvl>
              </c:multiLvlStrCache>
            </c:multiLvlStrRef>
          </c:cat>
          <c:val>
            <c:numRef>
              <c:f>'CAPEX H2 transmissions'!$AA$47:$AA$63</c:f>
              <c:numCache>
                <c:formatCode>General</c:formatCode>
                <c:ptCount val="10"/>
                <c:pt idx="0">
                  <c:v>568</c:v>
                </c:pt>
              </c:numCache>
            </c:numRef>
          </c:val>
          <c:extLst>
            <c:ext xmlns:c16="http://schemas.microsoft.com/office/drawing/2014/chart" uri="{C3380CC4-5D6E-409C-BE32-E72D297353CC}">
              <c16:uniqueId val="{00000000-61E0-4230-8755-75254136CDD1}"/>
            </c:ext>
          </c:extLst>
        </c:ser>
        <c:ser>
          <c:idx val="1"/>
          <c:order val="1"/>
          <c:tx>
            <c:strRef>
              <c:f>'CAPEX H2 transmissions'!$AB$45:$AB$46</c:f>
              <c:strCache>
                <c:ptCount val="1"/>
                <c:pt idx="0">
                  <c:v>L (48 inch)</c:v>
                </c:pt>
              </c:strCache>
            </c:strRef>
          </c:tx>
          <c:spPr>
            <a:solidFill>
              <a:schemeClr val="accent2"/>
            </a:solidFill>
            <a:ln>
              <a:noFill/>
            </a:ln>
            <a:effectLst/>
          </c:spPr>
          <c:invertIfNegative val="0"/>
          <c:cat>
            <c:multiLvlStrRef>
              <c:f>'CAPEX H2 transmissions'!$Z$47:$Z$63</c:f>
              <c:multiLvlStrCache>
                <c:ptCount val="10"/>
                <c:lvl>
                  <c:pt idx="0">
                    <c:v>Assessment of connection concepts for Germany’s far out North Sea offshore wind areas</c:v>
                  </c:pt>
                  <c:pt idx="1">
                    <c:v>Report: HyWay 27: hydrogen transmission using the existing natural gas grid?</c:v>
                  </c:pt>
                  <c:pt idx="2">
                    <c:v>(Cited by DNV)</c:v>
                  </c:pt>
                  <c:pt idx="3">
                    <c:v> Technical Brief, The Techno-Economics of Hydrogen Pipelines</c:v>
                  </c:pt>
                  <c:pt idx="4">
                    <c:v>(Cited by DNV)</c:v>
                  </c:pt>
                  <c:pt idx="5">
                    <c:v>(Cited by DNV)</c:v>
                  </c:pt>
                  <c:pt idx="6">
                    <c:v>EHB 2023: Implementation roadmap (mainly)</c:v>
                  </c:pt>
                  <c:pt idx="7">
                    <c:v>Values provided border by border (p. 107 / unit conversion &amp; average: Artelys)</c:v>
                  </c:pt>
                  <c:pt idx="8">
                    <c:v>Values provided in €/km for different pipeline sizes (p. 52 / units conversions: Artelys)</c:v>
                  </c:pt>
                  <c:pt idx="9">
                    <c:v>Values provided directly in €/MW/km (p. 104)</c:v>
                  </c:pt>
                </c:lvl>
                <c:lvl>
                  <c:pt idx="0">
                    <c:v>E-Bridge</c:v>
                  </c:pt>
                  <c:pt idx="1">
                    <c:v>Strategy&amp;</c:v>
                  </c:pt>
                  <c:pt idx="2">
                    <c:v>TNO</c:v>
                  </c:pt>
                  <c:pt idx="3">
                    <c:v>Transition Accelerator</c:v>
                  </c:pt>
                  <c:pt idx="4">
                    <c:v>NSWPH</c:v>
                  </c:pt>
                  <c:pt idx="5">
                    <c:v>EHB</c:v>
                  </c:pt>
                  <c:pt idx="7">
                    <c:v>TYNDP 2024</c:v>
                  </c:pt>
                </c:lvl>
              </c:multiLvlStrCache>
            </c:multiLvlStrRef>
          </c:cat>
          <c:val>
            <c:numRef>
              <c:f>'CAPEX H2 transmissions'!$AB$47:$AB$63</c:f>
              <c:numCache>
                <c:formatCode>General</c:formatCode>
                <c:ptCount val="10"/>
                <c:pt idx="6">
                  <c:v>352.53846153846155</c:v>
                </c:pt>
                <c:pt idx="8">
                  <c:v>270.30769230769232</c:v>
                </c:pt>
              </c:numCache>
            </c:numRef>
          </c:val>
          <c:extLst>
            <c:ext xmlns:c16="http://schemas.microsoft.com/office/drawing/2014/chart" uri="{C3380CC4-5D6E-409C-BE32-E72D297353CC}">
              <c16:uniqueId val="{00000001-61E0-4230-8755-75254136CDD1}"/>
            </c:ext>
          </c:extLst>
        </c:ser>
        <c:ser>
          <c:idx val="2"/>
          <c:order val="2"/>
          <c:tx>
            <c:strRef>
              <c:f>'CAPEX H2 transmissions'!$AC$45:$AC$46</c:f>
              <c:strCache>
                <c:ptCount val="1"/>
                <c:pt idx="0">
                  <c:v>M (36 inch)</c:v>
                </c:pt>
              </c:strCache>
            </c:strRef>
          </c:tx>
          <c:spPr>
            <a:solidFill>
              <a:schemeClr val="accent3"/>
            </a:solidFill>
            <a:ln>
              <a:noFill/>
            </a:ln>
            <a:effectLst/>
          </c:spPr>
          <c:invertIfNegative val="0"/>
          <c:cat>
            <c:multiLvlStrRef>
              <c:f>'CAPEX H2 transmissions'!$Z$47:$Z$63</c:f>
              <c:multiLvlStrCache>
                <c:ptCount val="10"/>
                <c:lvl>
                  <c:pt idx="0">
                    <c:v>Assessment of connection concepts for Germany’s far out North Sea offshore wind areas</c:v>
                  </c:pt>
                  <c:pt idx="1">
                    <c:v>Report: HyWay 27: hydrogen transmission using the existing natural gas grid?</c:v>
                  </c:pt>
                  <c:pt idx="2">
                    <c:v>(Cited by DNV)</c:v>
                  </c:pt>
                  <c:pt idx="3">
                    <c:v> Technical Brief, The Techno-Economics of Hydrogen Pipelines</c:v>
                  </c:pt>
                  <c:pt idx="4">
                    <c:v>(Cited by DNV)</c:v>
                  </c:pt>
                  <c:pt idx="5">
                    <c:v>(Cited by DNV)</c:v>
                  </c:pt>
                  <c:pt idx="6">
                    <c:v>EHB 2023: Implementation roadmap (mainly)</c:v>
                  </c:pt>
                  <c:pt idx="7">
                    <c:v>Values provided border by border (p. 107 / unit conversion &amp; average: Artelys)</c:v>
                  </c:pt>
                  <c:pt idx="8">
                    <c:v>Values provided in €/km for different pipeline sizes (p. 52 / units conversions: Artelys)</c:v>
                  </c:pt>
                  <c:pt idx="9">
                    <c:v>Values provided directly in €/MW/km (p. 104)</c:v>
                  </c:pt>
                </c:lvl>
                <c:lvl>
                  <c:pt idx="0">
                    <c:v>E-Bridge</c:v>
                  </c:pt>
                  <c:pt idx="1">
                    <c:v>Strategy&amp;</c:v>
                  </c:pt>
                  <c:pt idx="2">
                    <c:v>TNO</c:v>
                  </c:pt>
                  <c:pt idx="3">
                    <c:v>Transition Accelerator</c:v>
                  </c:pt>
                  <c:pt idx="4">
                    <c:v>NSWPH</c:v>
                  </c:pt>
                  <c:pt idx="5">
                    <c:v>EHB</c:v>
                  </c:pt>
                  <c:pt idx="7">
                    <c:v>TYNDP 2024</c:v>
                  </c:pt>
                </c:lvl>
              </c:multiLvlStrCache>
            </c:multiLvlStrRef>
          </c:cat>
          <c:val>
            <c:numRef>
              <c:f>'CAPEX H2 transmissions'!$AC$47:$AC$63</c:f>
              <c:numCache>
                <c:formatCode>General</c:formatCode>
                <c:ptCount val="10"/>
                <c:pt idx="1">
                  <c:v>352</c:v>
                </c:pt>
                <c:pt idx="2">
                  <c:v>454.5</c:v>
                </c:pt>
                <c:pt idx="3">
                  <c:v>613</c:v>
                </c:pt>
                <c:pt idx="4">
                  <c:v>1086.6666666666667</c:v>
                </c:pt>
                <c:pt idx="5">
                  <c:v>941.66666666666663</c:v>
                </c:pt>
                <c:pt idx="6">
                  <c:v>700.63829787234044</c:v>
                </c:pt>
                <c:pt idx="7">
                  <c:v>326</c:v>
                </c:pt>
                <c:pt idx="8">
                  <c:v>721.28712871287132</c:v>
                </c:pt>
              </c:numCache>
            </c:numRef>
          </c:val>
          <c:extLst>
            <c:ext xmlns:c16="http://schemas.microsoft.com/office/drawing/2014/chart" uri="{C3380CC4-5D6E-409C-BE32-E72D297353CC}">
              <c16:uniqueId val="{00000002-61E0-4230-8755-75254136CDD1}"/>
            </c:ext>
          </c:extLst>
        </c:ser>
        <c:ser>
          <c:idx val="3"/>
          <c:order val="3"/>
          <c:tx>
            <c:strRef>
              <c:f>'CAPEX H2 transmissions'!$AD$45:$AD$46</c:f>
              <c:strCache>
                <c:ptCount val="1"/>
                <c:pt idx="0">
                  <c:v>Not specified</c:v>
                </c:pt>
              </c:strCache>
            </c:strRef>
          </c:tx>
          <c:spPr>
            <a:solidFill>
              <a:schemeClr val="accent4"/>
            </a:solidFill>
            <a:ln>
              <a:noFill/>
            </a:ln>
            <a:effectLst/>
          </c:spPr>
          <c:invertIfNegative val="0"/>
          <c:cat>
            <c:multiLvlStrRef>
              <c:f>'CAPEX H2 transmissions'!$Z$47:$Z$63</c:f>
              <c:multiLvlStrCache>
                <c:ptCount val="10"/>
                <c:lvl>
                  <c:pt idx="0">
                    <c:v>Assessment of connection concepts for Germany’s far out North Sea offshore wind areas</c:v>
                  </c:pt>
                  <c:pt idx="1">
                    <c:v>Report: HyWay 27: hydrogen transmission using the existing natural gas grid?</c:v>
                  </c:pt>
                  <c:pt idx="2">
                    <c:v>(Cited by DNV)</c:v>
                  </c:pt>
                  <c:pt idx="3">
                    <c:v> Technical Brief, The Techno-Economics of Hydrogen Pipelines</c:v>
                  </c:pt>
                  <c:pt idx="4">
                    <c:v>(Cited by DNV)</c:v>
                  </c:pt>
                  <c:pt idx="5">
                    <c:v>(Cited by DNV)</c:v>
                  </c:pt>
                  <c:pt idx="6">
                    <c:v>EHB 2023: Implementation roadmap (mainly)</c:v>
                  </c:pt>
                  <c:pt idx="7">
                    <c:v>Values provided border by border (p. 107 / unit conversion &amp; average: Artelys)</c:v>
                  </c:pt>
                  <c:pt idx="8">
                    <c:v>Values provided in €/km for different pipeline sizes (p. 52 / units conversions: Artelys)</c:v>
                  </c:pt>
                  <c:pt idx="9">
                    <c:v>Values provided directly in €/MW/km (p. 104)</c:v>
                  </c:pt>
                </c:lvl>
                <c:lvl>
                  <c:pt idx="0">
                    <c:v>E-Bridge</c:v>
                  </c:pt>
                  <c:pt idx="1">
                    <c:v>Strategy&amp;</c:v>
                  </c:pt>
                  <c:pt idx="2">
                    <c:v>TNO</c:v>
                  </c:pt>
                  <c:pt idx="3">
                    <c:v>Transition Accelerator</c:v>
                  </c:pt>
                  <c:pt idx="4">
                    <c:v>NSWPH</c:v>
                  </c:pt>
                  <c:pt idx="5">
                    <c:v>EHB</c:v>
                  </c:pt>
                  <c:pt idx="7">
                    <c:v>TYNDP 2024</c:v>
                  </c:pt>
                </c:lvl>
              </c:multiLvlStrCache>
            </c:multiLvlStrRef>
          </c:cat>
          <c:val>
            <c:numRef>
              <c:f>'CAPEX H2 transmissions'!$AD$47:$AD$63</c:f>
              <c:numCache>
                <c:formatCode>General</c:formatCode>
                <c:ptCount val="10"/>
                <c:pt idx="9">
                  <c:v>529</c:v>
                </c:pt>
              </c:numCache>
            </c:numRef>
          </c:val>
          <c:extLst>
            <c:ext xmlns:c16="http://schemas.microsoft.com/office/drawing/2014/chart" uri="{C3380CC4-5D6E-409C-BE32-E72D297353CC}">
              <c16:uniqueId val="{00000003-61E0-4230-8755-75254136CDD1}"/>
            </c:ext>
          </c:extLst>
        </c:ser>
        <c:ser>
          <c:idx val="4"/>
          <c:order val="4"/>
          <c:tx>
            <c:strRef>
              <c:f>'CAPEX H2 transmissions'!$AE$45:$AE$46</c:f>
              <c:strCache>
                <c:ptCount val="1"/>
                <c:pt idx="0">
                  <c:v>S (20 inch)</c:v>
                </c:pt>
              </c:strCache>
            </c:strRef>
          </c:tx>
          <c:spPr>
            <a:solidFill>
              <a:schemeClr val="accent5"/>
            </a:solidFill>
            <a:ln>
              <a:noFill/>
            </a:ln>
            <a:effectLst/>
          </c:spPr>
          <c:invertIfNegative val="0"/>
          <c:cat>
            <c:multiLvlStrRef>
              <c:f>'CAPEX H2 transmissions'!$Z$47:$Z$63</c:f>
              <c:multiLvlStrCache>
                <c:ptCount val="10"/>
                <c:lvl>
                  <c:pt idx="0">
                    <c:v>Assessment of connection concepts for Germany’s far out North Sea offshore wind areas</c:v>
                  </c:pt>
                  <c:pt idx="1">
                    <c:v>Report: HyWay 27: hydrogen transmission using the existing natural gas grid?</c:v>
                  </c:pt>
                  <c:pt idx="2">
                    <c:v>(Cited by DNV)</c:v>
                  </c:pt>
                  <c:pt idx="3">
                    <c:v> Technical Brief, The Techno-Economics of Hydrogen Pipelines</c:v>
                  </c:pt>
                  <c:pt idx="4">
                    <c:v>(Cited by DNV)</c:v>
                  </c:pt>
                  <c:pt idx="5">
                    <c:v>(Cited by DNV)</c:v>
                  </c:pt>
                  <c:pt idx="6">
                    <c:v>EHB 2023: Implementation roadmap (mainly)</c:v>
                  </c:pt>
                  <c:pt idx="7">
                    <c:v>Values provided border by border (p. 107 / unit conversion &amp; average: Artelys)</c:v>
                  </c:pt>
                  <c:pt idx="8">
                    <c:v>Values provided in €/km for different pipeline sizes (p. 52 / units conversions: Artelys)</c:v>
                  </c:pt>
                  <c:pt idx="9">
                    <c:v>Values provided directly in €/MW/km (p. 104)</c:v>
                  </c:pt>
                </c:lvl>
                <c:lvl>
                  <c:pt idx="0">
                    <c:v>E-Bridge</c:v>
                  </c:pt>
                  <c:pt idx="1">
                    <c:v>Strategy&amp;</c:v>
                  </c:pt>
                  <c:pt idx="2">
                    <c:v>TNO</c:v>
                  </c:pt>
                  <c:pt idx="3">
                    <c:v>Transition Accelerator</c:v>
                  </c:pt>
                  <c:pt idx="4">
                    <c:v>NSWPH</c:v>
                  </c:pt>
                  <c:pt idx="5">
                    <c:v>EHB</c:v>
                  </c:pt>
                  <c:pt idx="7">
                    <c:v>TYNDP 2024</c:v>
                  </c:pt>
                </c:lvl>
              </c:multiLvlStrCache>
            </c:multiLvlStrRef>
          </c:cat>
          <c:val>
            <c:numRef>
              <c:f>'CAPEX H2 transmissions'!$AE$47:$AE$63</c:f>
              <c:numCache>
                <c:formatCode>General</c:formatCode>
                <c:ptCount val="10"/>
                <c:pt idx="6">
                  <c:v>1521.6666666666667</c:v>
                </c:pt>
                <c:pt idx="8">
                  <c:v>1833.6666666666667</c:v>
                </c:pt>
              </c:numCache>
            </c:numRef>
          </c:val>
          <c:extLst>
            <c:ext xmlns:c16="http://schemas.microsoft.com/office/drawing/2014/chart" uri="{C3380CC4-5D6E-409C-BE32-E72D297353CC}">
              <c16:uniqueId val="{00000001-670D-48AA-8C4B-368821BF693F}"/>
            </c:ext>
          </c:extLst>
        </c:ser>
        <c:dLbls>
          <c:showLegendKey val="0"/>
          <c:showVal val="0"/>
          <c:showCatName val="0"/>
          <c:showSerName val="0"/>
          <c:showPercent val="0"/>
          <c:showBubbleSize val="0"/>
        </c:dLbls>
        <c:gapWidth val="219"/>
        <c:axId val="233625503"/>
        <c:axId val="233622623"/>
      </c:barChart>
      <c:catAx>
        <c:axId val="23362550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33622623"/>
        <c:crosses val="autoZero"/>
        <c:auto val="1"/>
        <c:lblAlgn val="ctr"/>
        <c:lblOffset val="100"/>
        <c:noMultiLvlLbl val="0"/>
      </c:catAx>
      <c:valAx>
        <c:axId val="23362262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CAPEX (€/MW/km)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3362550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Benchmark</a:t>
            </a:r>
            <a:r>
              <a:rPr lang="en-GB" baseline="0"/>
              <a:t> - Electrolysis efficiency (LHV) (</a:t>
            </a:r>
            <a:r>
              <a:rPr lang="fr-FR" sz="1400" b="0" i="0" u="none" strike="noStrike" baseline="0"/>
              <a:t>Apply filters directly to the Table to dynamically update the Graph)</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38334122086333916"/>
          <c:y val="0.12264113789119079"/>
          <c:w val="0.55592379817132975"/>
          <c:h val="0.85823945839503946"/>
        </c:manualLayout>
      </c:layout>
      <c:barChart>
        <c:barDir val="bar"/>
        <c:grouping val="clustered"/>
        <c:varyColors val="0"/>
        <c:ser>
          <c:idx val="0"/>
          <c:order val="0"/>
          <c:tx>
            <c:strRef>
              <c:f>'Electrolysers efficiency'!$F$5:$F$36</c:f>
              <c:strCache>
                <c:ptCount val="32"/>
                <c:pt idx="0">
                  <c:v>66%</c:v>
                </c:pt>
                <c:pt idx="1">
                  <c:v>68%</c:v>
                </c:pt>
                <c:pt idx="2">
                  <c:v>69%</c:v>
                </c:pt>
                <c:pt idx="3">
                  <c:v>71%</c:v>
                </c:pt>
                <c:pt idx="4">
                  <c:v>74%</c:v>
                </c:pt>
                <c:pt idx="5">
                  <c:v>69%</c:v>
                </c:pt>
                <c:pt idx="6">
                  <c:v>63%</c:v>
                </c:pt>
                <c:pt idx="7">
                  <c:v>70%</c:v>
                </c:pt>
                <c:pt idx="8">
                  <c:v>65%</c:v>
                </c:pt>
                <c:pt idx="9">
                  <c:v>71%</c:v>
                </c:pt>
                <c:pt idx="10">
                  <c:v>70%</c:v>
                </c:pt>
                <c:pt idx="11">
                  <c:v>80%</c:v>
                </c:pt>
                <c:pt idx="12">
                  <c:v>56%</c:v>
                </c:pt>
                <c:pt idx="13">
                  <c:v>60%</c:v>
                </c:pt>
                <c:pt idx="14">
                  <c:v>63%</c:v>
                </c:pt>
                <c:pt idx="15">
                  <c:v>68%</c:v>
                </c:pt>
                <c:pt idx="16">
                  <c:v>67%</c:v>
                </c:pt>
                <c:pt idx="17">
                  <c:v>74%</c:v>
                </c:pt>
                <c:pt idx="18">
                  <c:v>74%</c:v>
                </c:pt>
                <c:pt idx="19">
                  <c:v>81%</c:v>
                </c:pt>
                <c:pt idx="20">
                  <c:v>77%</c:v>
                </c:pt>
                <c:pt idx="21">
                  <c:v>84%</c:v>
                </c:pt>
                <c:pt idx="22">
                  <c:v>77%</c:v>
                </c:pt>
                <c:pt idx="23">
                  <c:v>90%</c:v>
                </c:pt>
                <c:pt idx="24">
                  <c:v>68%</c:v>
                </c:pt>
                <c:pt idx="25">
                  <c:v>64.2%</c:v>
                </c:pt>
                <c:pt idx="26">
                  <c:v>69.7%</c:v>
                </c:pt>
                <c:pt idx="27">
                  <c:v>68%</c:v>
                </c:pt>
                <c:pt idx="28">
                  <c:v>60.50%</c:v>
                </c:pt>
                <c:pt idx="29">
                  <c:v>64.1%</c:v>
                </c:pt>
                <c:pt idx="30">
                  <c:v>61.7%</c:v>
                </c:pt>
                <c:pt idx="31">
                  <c:v>88.9%</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'Electrolysers efficiency'!$D$5:$E$36</c:f>
              <c:multiLvlStrCache>
                <c:ptCount val="32"/>
                <c:lvl>
                  <c:pt idx="0">
                    <c:v>Scenarios DE &amp; GA - for 2020 - technology Not specified</c:v>
                  </c:pt>
                  <c:pt idx="1">
                    <c:v>Scenarios DE &amp; GA - for 2025 - technology Not specified</c:v>
                  </c:pt>
                  <c:pt idx="2">
                    <c:v>Scenarios DE &amp; GA - for 2030 - technology Not specified</c:v>
                  </c:pt>
                  <c:pt idx="3">
                    <c:v>Scenarios DE &amp; GA - for 2040 - technology Not specified</c:v>
                  </c:pt>
                  <c:pt idx="4">
                    <c:v>Scenarios DE &amp; GA - for 2050 - technology Not specified</c:v>
                  </c:pt>
                  <c:pt idx="5">
                    <c:v>The Future of Hydrogen - for 2030 - technology Not specified</c:v>
                  </c:pt>
                  <c:pt idx="6">
                    <c:v> - for 2019 - technology Alkaline (Lower band)</c:v>
                  </c:pt>
                  <c:pt idx="7">
                    <c:v> - for 2019 - technology Alkaline (Upper band)</c:v>
                  </c:pt>
                  <c:pt idx="8">
                    <c:v> - for 2030 - technology Alkaline (Lower band)</c:v>
                  </c:pt>
                  <c:pt idx="9">
                    <c:v> - for 2030 - technology Alkaline (Upper band)</c:v>
                  </c:pt>
                  <c:pt idx="10">
                    <c:v> - for Long term - technology Alkaline (Lower band)</c:v>
                  </c:pt>
                  <c:pt idx="11">
                    <c:v> - for Long term - technology Alkaline (Upper band)</c:v>
                  </c:pt>
                  <c:pt idx="12">
                    <c:v> - for 2019 - technology PEM (Lower band)</c:v>
                  </c:pt>
                  <c:pt idx="13">
                    <c:v> - for 2019 - technology PEM (Upper band)</c:v>
                  </c:pt>
                  <c:pt idx="14">
                    <c:v> - for 2030 - technology PEM (Lower band)</c:v>
                  </c:pt>
                  <c:pt idx="15">
                    <c:v> - for 2030 - technology PEM (Upper band)</c:v>
                  </c:pt>
                  <c:pt idx="16">
                    <c:v> - for Long term - technology PEM (Lower band)</c:v>
                  </c:pt>
                  <c:pt idx="17">
                    <c:v> - for Long term - technology PEM (Upper band)</c:v>
                  </c:pt>
                  <c:pt idx="18">
                    <c:v> - for 2019 - technology SOEC (Lower band)</c:v>
                  </c:pt>
                  <c:pt idx="19">
                    <c:v> - for 2019 - technology SOEC (Upper band)</c:v>
                  </c:pt>
                  <c:pt idx="20">
                    <c:v> - for 2030 - technology SOEC (Lower band)</c:v>
                  </c:pt>
                  <c:pt idx="21">
                    <c:v> - for 2030 - technology SOEC (Upper band)</c:v>
                  </c:pt>
                  <c:pt idx="22">
                    <c:v> - for Long term - technology SOEC (Lower band)</c:v>
                  </c:pt>
                  <c:pt idx="23">
                    <c:v> - for Long term - technology SOEC (Upper band)</c:v>
                  </c:pt>
                  <c:pt idx="24">
                    <c:v>ENTEC - The role of renewable H₂ import &amp; storage to scale up the EU deployment of renewable H₂ - for 2030 - technology Not specified</c:v>
                  </c:pt>
                  <c:pt idx="25">
                    <c:v>Efficiency provided by a manufacturer - for 2024 - technology Not specified</c:v>
                  </c:pt>
                  <c:pt idx="26">
                    <c:v>Efficiency provided by a manufacturer - for 2024 - technology Not specified</c:v>
                  </c:pt>
                  <c:pt idx="27">
                    <c:v>Assumed electrolyser's efficiency at stack level - for 2024 - technology Not specified</c:v>
                  </c:pt>
                  <c:pt idx="28">
                    <c:v>Assumed electrolyser's efficiency at system level - for 2024 - technology Not specified</c:v>
                  </c:pt>
                  <c:pt idx="29">
                    <c:v>Hydrogen Electrolyzers for a Clean Energy Future - for 2021 - technology PEM</c:v>
                  </c:pt>
                  <c:pt idx="30">
                    <c:v>Hydrogen Electrolyzers for a Clean Energy Future - for 2021 - technology Alkaline</c:v>
                  </c:pt>
                  <c:pt idx="31">
                    <c:v>Hydrogen Electrolyzers for a Clean Energy Future - for 2021 - technology Solid Oxide</c:v>
                  </c:pt>
                </c:lvl>
                <c:lvl>
                  <c:pt idx="0">
                    <c:v>TYNDP 2024</c:v>
                  </c:pt>
                  <c:pt idx="5">
                    <c:v>IEA</c:v>
                  </c:pt>
                  <c:pt idx="24">
                    <c:v> </c:v>
                  </c:pt>
                  <c:pt idx="25">
                    <c:v>JRC</c:v>
                  </c:pt>
                  <c:pt idx="29">
                    <c:v>Bloom Energy</c:v>
                  </c:pt>
                </c:lvl>
              </c:multiLvlStrCache>
            </c:multiLvlStrRef>
          </c:cat>
          <c:val>
            <c:numRef>
              <c:f>'Electrolysers efficiency'!$F$5:$F$36</c:f>
              <c:numCache>
                <c:formatCode>0%</c:formatCode>
                <c:ptCount val="32"/>
                <c:pt idx="0">
                  <c:v>0.66</c:v>
                </c:pt>
                <c:pt idx="1">
                  <c:v>0.68</c:v>
                </c:pt>
                <c:pt idx="2">
                  <c:v>0.69</c:v>
                </c:pt>
                <c:pt idx="3">
                  <c:v>0.71</c:v>
                </c:pt>
                <c:pt idx="4">
                  <c:v>0.74</c:v>
                </c:pt>
                <c:pt idx="5">
                  <c:v>0.69</c:v>
                </c:pt>
                <c:pt idx="6">
                  <c:v>0.63</c:v>
                </c:pt>
                <c:pt idx="7">
                  <c:v>0.7</c:v>
                </c:pt>
                <c:pt idx="8">
                  <c:v>0.65</c:v>
                </c:pt>
                <c:pt idx="9">
                  <c:v>0.71</c:v>
                </c:pt>
                <c:pt idx="10">
                  <c:v>0.7</c:v>
                </c:pt>
                <c:pt idx="11">
                  <c:v>0.8</c:v>
                </c:pt>
                <c:pt idx="12">
                  <c:v>0.56000000000000005</c:v>
                </c:pt>
                <c:pt idx="13">
                  <c:v>0.6</c:v>
                </c:pt>
                <c:pt idx="14">
                  <c:v>0.63</c:v>
                </c:pt>
                <c:pt idx="15">
                  <c:v>0.68</c:v>
                </c:pt>
                <c:pt idx="16">
                  <c:v>0.67</c:v>
                </c:pt>
                <c:pt idx="17">
                  <c:v>0.74</c:v>
                </c:pt>
                <c:pt idx="18">
                  <c:v>0.74</c:v>
                </c:pt>
                <c:pt idx="19">
                  <c:v>0.81</c:v>
                </c:pt>
                <c:pt idx="20">
                  <c:v>0.77</c:v>
                </c:pt>
                <c:pt idx="21">
                  <c:v>0.84</c:v>
                </c:pt>
                <c:pt idx="22">
                  <c:v>0.77</c:v>
                </c:pt>
                <c:pt idx="23">
                  <c:v>0.9</c:v>
                </c:pt>
                <c:pt idx="24">
                  <c:v>0.68173450603395369</c:v>
                </c:pt>
                <c:pt idx="25" formatCode="0.0%">
                  <c:v>0.64174999999999993</c:v>
                </c:pt>
                <c:pt idx="26" formatCode="0.0%">
                  <c:v>0.69699999999999995</c:v>
                </c:pt>
                <c:pt idx="27">
                  <c:v>0.68</c:v>
                </c:pt>
                <c:pt idx="28" formatCode="0.00%">
                  <c:v>0.60499999999999998</c:v>
                </c:pt>
                <c:pt idx="29" formatCode="0.0%">
                  <c:v>0.64096153846153847</c:v>
                </c:pt>
                <c:pt idx="30" formatCode="0.0%">
                  <c:v>0.61722222222222223</c:v>
                </c:pt>
                <c:pt idx="31" formatCode="0.0%">
                  <c:v>0.88879999999999992</c:v>
                </c:pt>
              </c:numCache>
            </c:numRef>
          </c:val>
          <c:extLst>
            <c:ext xmlns:c16="http://schemas.microsoft.com/office/drawing/2014/chart" uri="{C3380CC4-5D6E-409C-BE32-E72D297353CC}">
              <c16:uniqueId val="{00000000-E647-4AE7-84ED-64031E386B56}"/>
            </c:ext>
          </c:extLst>
        </c:ser>
        <c:dLbls>
          <c:showLegendKey val="0"/>
          <c:showVal val="0"/>
          <c:showCatName val="0"/>
          <c:showSerName val="0"/>
          <c:showPercent val="0"/>
          <c:showBubbleSize val="0"/>
        </c:dLbls>
        <c:gapWidth val="64"/>
        <c:axId val="8588080"/>
        <c:axId val="8580880"/>
      </c:barChart>
      <c:catAx>
        <c:axId val="85880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80880"/>
        <c:crosses val="autoZero"/>
        <c:auto val="1"/>
        <c:lblAlgn val="ctr"/>
        <c:lblOffset val="100"/>
        <c:noMultiLvlLbl val="0"/>
      </c:catAx>
      <c:valAx>
        <c:axId val="858088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880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3">
  <dgm:title val=""/>
  <dgm:desc val=""/>
  <dgm:catLst>
    <dgm:cat type="accent1" pri="11300"/>
  </dgm:catLst>
  <dgm:styleLbl name="node0">
    <dgm:fillClrLst meth="repeat">
      <a:schemeClr val="accent1">
        <a:shade val="80000"/>
      </a:schemeClr>
    </dgm:fillClrLst>
    <dgm:linClrLst meth="repeat">
      <a:schemeClr val="lt1"/>
    </dgm:linClrLst>
    <dgm:effectClrLst/>
    <dgm:txLinClrLst/>
    <dgm:txFillClrLst/>
    <dgm:txEffectClrLst/>
  </dgm:styleLbl>
  <dgm:styleLbl name="alignNode1">
    <dgm:fillClrLst>
      <a:schemeClr val="accent1">
        <a:shade val="80000"/>
      </a:schemeClr>
      <a:schemeClr val="accent1">
        <a:tint val="70000"/>
      </a:schemeClr>
    </dgm:fillClrLst>
    <dgm:linClrLst>
      <a:schemeClr val="accent1">
        <a:shade val="80000"/>
      </a:schemeClr>
      <a:schemeClr val="accent1">
        <a:tint val="70000"/>
      </a:schemeClr>
    </dgm:linClrLst>
    <dgm:effectClrLst/>
    <dgm:txLinClrLst/>
    <dgm:txFillClrLst/>
    <dgm:txEffectClrLst/>
  </dgm:styleLbl>
  <dgm:styleLbl name="node1">
    <dgm:fillClrLst>
      <a:schemeClr val="accent1">
        <a:shade val="80000"/>
      </a:schemeClr>
      <a:schemeClr val="accent1">
        <a:tint val="70000"/>
      </a:schemeClr>
    </dgm:fillClrLst>
    <dgm:linClrLst meth="repeat">
      <a:schemeClr val="lt1"/>
    </dgm:linClrLst>
    <dgm:effectClrLst/>
    <dgm:txLinClrLst/>
    <dgm:txFillClrLst/>
    <dgm:txEffectClrLst/>
  </dgm:styleLbl>
  <dgm:styleLbl name="lnNode1">
    <dgm:fillClrLst>
      <a:schemeClr val="accent1">
        <a:shade val="80000"/>
      </a:schemeClr>
      <a:schemeClr val="accent1">
        <a:tint val="70000"/>
      </a:schemeClr>
    </dgm:fillClrLst>
    <dgm:linClrLst meth="repeat">
      <a:schemeClr val="lt1"/>
    </dgm:linClrLst>
    <dgm:effectClrLst/>
    <dgm:txLinClrLst/>
    <dgm:txFillClrLst/>
    <dgm:txEffectClrLst/>
  </dgm:styleLbl>
  <dgm:styleLbl name="vennNode1">
    <dgm:fillClrLst>
      <a:schemeClr val="accent1">
        <a:shade val="80000"/>
        <a:alpha val="50000"/>
      </a:schemeClr>
      <a:schemeClr val="accent1">
        <a:tint val="70000"/>
        <a:alpha val="50000"/>
      </a:schemeClr>
    </dgm:fillClrLst>
    <dgm:linClrLst meth="repeat">
      <a:schemeClr val="lt1"/>
    </dgm:linClrLst>
    <dgm:effectClrLst/>
    <dgm:txLinClrLst/>
    <dgm:txFillClrLst/>
    <dgm:txEffectClrLst/>
  </dgm:styleLbl>
  <dgm:styleLbl name="node2">
    <dgm:fillClrLst>
      <a:schemeClr val="accent1">
        <a:tint val="99000"/>
      </a:schemeClr>
    </dgm:fillClrLst>
    <dgm:linClrLst meth="repeat">
      <a:schemeClr val="lt1"/>
    </dgm:linClrLst>
    <dgm:effectClrLst/>
    <dgm:txLinClrLst/>
    <dgm:txFillClrLst/>
    <dgm:txEffectClrLst/>
  </dgm:styleLbl>
  <dgm:styleLbl name="node3">
    <dgm:fillClrLst>
      <a:schemeClr val="accent1">
        <a:tint val="80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dgm:txEffectClrLst/>
  </dgm:styleLbl>
  <dgm:styleLbl name="fgSibTrans2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meth="repeat">
      <a:schemeClr val="lt1"/>
    </dgm:txFillClrLst>
    <dgm:txEffectClrLst/>
  </dgm:styleLbl>
  <dgm:styleLbl name="bgSibTrans2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meth="repeat">
      <a:schemeClr val="lt1"/>
    </dgm:txFillClrLst>
    <dgm:txEffectClrLst/>
  </dgm:styleLbl>
  <dgm:styleLbl name="sibTrans1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9000"/>
      </a:schemeClr>
    </dgm:fillClrLst>
    <dgm:linClrLst meth="repeat">
      <a:schemeClr val="lt1"/>
    </dgm:linClrLst>
    <dgm:effectClrLst/>
    <dgm:txLinClrLst/>
    <dgm:txFillClrLst/>
    <dgm:txEffectClrLst/>
  </dgm:styleLbl>
  <dgm:styleLbl name="asst3">
    <dgm:fillClrLst>
      <a:schemeClr val="accent1">
        <a:tint val="80000"/>
      </a:schemeClr>
    </dgm:fillClrLst>
    <dgm:linClrLst meth="repeat">
      <a:schemeClr val="lt1"/>
    </dgm:linClrLst>
    <dgm:effectClrLst/>
    <dgm:txLinClrLst/>
    <dgm:txFillClrLst/>
    <dgm:txEffectClrLst/>
  </dgm:styleLbl>
  <dgm:styleLbl name="asst4">
    <dgm:fillClrLst>
      <a:schemeClr val="accent1">
        <a:tint val="7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lt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9000"/>
      </a:schemeClr>
    </dgm:fillClrLst>
    <dgm:linClrLst meth="repeat">
      <a:schemeClr val="accent1">
        <a:tint val="99000"/>
      </a:schemeClr>
    </dgm:linClrLst>
    <dgm:effectClrLst/>
    <dgm:txLinClrLst/>
    <dgm:txFillClrLst meth="repeat">
      <a:schemeClr val="tx1"/>
    </dgm:txFillClrLst>
    <dgm:txEffectClrLst/>
  </dgm:styleLbl>
  <dgm:styleLbl name="parChTrans1D3">
    <dgm:fillClrLst meth="repeat">
      <a:schemeClr val="accent1">
        <a:tint val="80000"/>
      </a:schemeClr>
    </dgm:fillClrLst>
    <dgm:linClrLst meth="repeat">
      <a:schemeClr val="accent1">
        <a:tint val="80000"/>
      </a:schemeClr>
    </dgm:linClrLst>
    <dgm:effectClrLst/>
    <dgm:txLinClrLst/>
    <dgm:txFillClrLst meth="repeat">
      <a:schemeClr val="tx1"/>
    </dgm:txFillClrLst>
    <dgm:txEffectClrLst/>
  </dgm:styleLbl>
  <dgm:styleLbl name="parChTrans1D4">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solidFgAcc1">
    <dgm:fillClrLst meth="repeat">
      <a:schemeClr val="lt1"/>
    </dgm:fillClrLst>
    <dgm:linClrLst>
      <a:schemeClr val="accent1">
        <a:shade val="80000"/>
      </a:schemeClr>
      <a:schemeClr val="accent1">
        <a:tint val="7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9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8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3">
  <dgm:title val=""/>
  <dgm:desc val=""/>
  <dgm:catLst>
    <dgm:cat type="accent1" pri="11300"/>
  </dgm:catLst>
  <dgm:styleLbl name="node0">
    <dgm:fillClrLst meth="repeat">
      <a:schemeClr val="accent1">
        <a:shade val="80000"/>
      </a:schemeClr>
    </dgm:fillClrLst>
    <dgm:linClrLst meth="repeat">
      <a:schemeClr val="lt1"/>
    </dgm:linClrLst>
    <dgm:effectClrLst/>
    <dgm:txLinClrLst/>
    <dgm:txFillClrLst/>
    <dgm:txEffectClrLst/>
  </dgm:styleLbl>
  <dgm:styleLbl name="alignNode1">
    <dgm:fillClrLst>
      <a:schemeClr val="accent1">
        <a:shade val="80000"/>
      </a:schemeClr>
      <a:schemeClr val="accent1">
        <a:tint val="70000"/>
      </a:schemeClr>
    </dgm:fillClrLst>
    <dgm:linClrLst>
      <a:schemeClr val="accent1">
        <a:shade val="80000"/>
      </a:schemeClr>
      <a:schemeClr val="accent1">
        <a:tint val="70000"/>
      </a:schemeClr>
    </dgm:linClrLst>
    <dgm:effectClrLst/>
    <dgm:txLinClrLst/>
    <dgm:txFillClrLst/>
    <dgm:txEffectClrLst/>
  </dgm:styleLbl>
  <dgm:styleLbl name="node1">
    <dgm:fillClrLst>
      <a:schemeClr val="accent1">
        <a:shade val="80000"/>
      </a:schemeClr>
      <a:schemeClr val="accent1">
        <a:tint val="70000"/>
      </a:schemeClr>
    </dgm:fillClrLst>
    <dgm:linClrLst meth="repeat">
      <a:schemeClr val="lt1"/>
    </dgm:linClrLst>
    <dgm:effectClrLst/>
    <dgm:txLinClrLst/>
    <dgm:txFillClrLst/>
    <dgm:txEffectClrLst/>
  </dgm:styleLbl>
  <dgm:styleLbl name="lnNode1">
    <dgm:fillClrLst>
      <a:schemeClr val="accent1">
        <a:shade val="80000"/>
      </a:schemeClr>
      <a:schemeClr val="accent1">
        <a:tint val="70000"/>
      </a:schemeClr>
    </dgm:fillClrLst>
    <dgm:linClrLst meth="repeat">
      <a:schemeClr val="lt1"/>
    </dgm:linClrLst>
    <dgm:effectClrLst/>
    <dgm:txLinClrLst/>
    <dgm:txFillClrLst/>
    <dgm:txEffectClrLst/>
  </dgm:styleLbl>
  <dgm:styleLbl name="vennNode1">
    <dgm:fillClrLst>
      <a:schemeClr val="accent1">
        <a:shade val="80000"/>
        <a:alpha val="50000"/>
      </a:schemeClr>
      <a:schemeClr val="accent1">
        <a:tint val="70000"/>
        <a:alpha val="50000"/>
      </a:schemeClr>
    </dgm:fillClrLst>
    <dgm:linClrLst meth="repeat">
      <a:schemeClr val="lt1"/>
    </dgm:linClrLst>
    <dgm:effectClrLst/>
    <dgm:txLinClrLst/>
    <dgm:txFillClrLst/>
    <dgm:txEffectClrLst/>
  </dgm:styleLbl>
  <dgm:styleLbl name="node2">
    <dgm:fillClrLst>
      <a:schemeClr val="accent1">
        <a:tint val="99000"/>
      </a:schemeClr>
    </dgm:fillClrLst>
    <dgm:linClrLst meth="repeat">
      <a:schemeClr val="lt1"/>
    </dgm:linClrLst>
    <dgm:effectClrLst/>
    <dgm:txLinClrLst/>
    <dgm:txFillClrLst/>
    <dgm:txEffectClrLst/>
  </dgm:styleLbl>
  <dgm:styleLbl name="node3">
    <dgm:fillClrLst>
      <a:schemeClr val="accent1">
        <a:tint val="80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dgm:txEffectClrLst/>
  </dgm:styleLbl>
  <dgm:styleLbl name="fgSibTrans2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meth="repeat">
      <a:schemeClr val="lt1"/>
    </dgm:txFillClrLst>
    <dgm:txEffectClrLst/>
  </dgm:styleLbl>
  <dgm:styleLbl name="bgSibTrans2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meth="repeat">
      <a:schemeClr val="lt1"/>
    </dgm:txFillClrLst>
    <dgm:txEffectClrLst/>
  </dgm:styleLbl>
  <dgm:styleLbl name="sibTrans1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9000"/>
      </a:schemeClr>
    </dgm:fillClrLst>
    <dgm:linClrLst meth="repeat">
      <a:schemeClr val="lt1"/>
    </dgm:linClrLst>
    <dgm:effectClrLst/>
    <dgm:txLinClrLst/>
    <dgm:txFillClrLst/>
    <dgm:txEffectClrLst/>
  </dgm:styleLbl>
  <dgm:styleLbl name="asst3">
    <dgm:fillClrLst>
      <a:schemeClr val="accent1">
        <a:tint val="80000"/>
      </a:schemeClr>
    </dgm:fillClrLst>
    <dgm:linClrLst meth="repeat">
      <a:schemeClr val="lt1"/>
    </dgm:linClrLst>
    <dgm:effectClrLst/>
    <dgm:txLinClrLst/>
    <dgm:txFillClrLst/>
    <dgm:txEffectClrLst/>
  </dgm:styleLbl>
  <dgm:styleLbl name="asst4">
    <dgm:fillClrLst>
      <a:schemeClr val="accent1">
        <a:tint val="7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lt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9000"/>
      </a:schemeClr>
    </dgm:fillClrLst>
    <dgm:linClrLst meth="repeat">
      <a:schemeClr val="accent1">
        <a:tint val="99000"/>
      </a:schemeClr>
    </dgm:linClrLst>
    <dgm:effectClrLst/>
    <dgm:txLinClrLst/>
    <dgm:txFillClrLst meth="repeat">
      <a:schemeClr val="tx1"/>
    </dgm:txFillClrLst>
    <dgm:txEffectClrLst/>
  </dgm:styleLbl>
  <dgm:styleLbl name="parChTrans1D3">
    <dgm:fillClrLst meth="repeat">
      <a:schemeClr val="accent1">
        <a:tint val="80000"/>
      </a:schemeClr>
    </dgm:fillClrLst>
    <dgm:linClrLst meth="repeat">
      <a:schemeClr val="accent1">
        <a:tint val="80000"/>
      </a:schemeClr>
    </dgm:linClrLst>
    <dgm:effectClrLst/>
    <dgm:txLinClrLst/>
    <dgm:txFillClrLst meth="repeat">
      <a:schemeClr val="tx1"/>
    </dgm:txFillClrLst>
    <dgm:txEffectClrLst/>
  </dgm:styleLbl>
  <dgm:styleLbl name="parChTrans1D4">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solidFgAcc1">
    <dgm:fillClrLst meth="repeat">
      <a:schemeClr val="lt1"/>
    </dgm:fillClrLst>
    <dgm:linClrLst>
      <a:schemeClr val="accent1">
        <a:shade val="80000"/>
      </a:schemeClr>
      <a:schemeClr val="accent1">
        <a:tint val="7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9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8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3">
  <dgm:title val=""/>
  <dgm:desc val=""/>
  <dgm:catLst>
    <dgm:cat type="accent1" pri="11300"/>
  </dgm:catLst>
  <dgm:styleLbl name="node0">
    <dgm:fillClrLst meth="repeat">
      <a:schemeClr val="accent1">
        <a:shade val="80000"/>
      </a:schemeClr>
    </dgm:fillClrLst>
    <dgm:linClrLst meth="repeat">
      <a:schemeClr val="lt1"/>
    </dgm:linClrLst>
    <dgm:effectClrLst/>
    <dgm:txLinClrLst/>
    <dgm:txFillClrLst/>
    <dgm:txEffectClrLst/>
  </dgm:styleLbl>
  <dgm:styleLbl name="alignNode1">
    <dgm:fillClrLst>
      <a:schemeClr val="accent1">
        <a:shade val="80000"/>
      </a:schemeClr>
      <a:schemeClr val="accent1">
        <a:tint val="70000"/>
      </a:schemeClr>
    </dgm:fillClrLst>
    <dgm:linClrLst>
      <a:schemeClr val="accent1">
        <a:shade val="80000"/>
      </a:schemeClr>
      <a:schemeClr val="accent1">
        <a:tint val="70000"/>
      </a:schemeClr>
    </dgm:linClrLst>
    <dgm:effectClrLst/>
    <dgm:txLinClrLst/>
    <dgm:txFillClrLst/>
    <dgm:txEffectClrLst/>
  </dgm:styleLbl>
  <dgm:styleLbl name="node1">
    <dgm:fillClrLst>
      <a:schemeClr val="accent1">
        <a:shade val="80000"/>
      </a:schemeClr>
      <a:schemeClr val="accent1">
        <a:tint val="70000"/>
      </a:schemeClr>
    </dgm:fillClrLst>
    <dgm:linClrLst meth="repeat">
      <a:schemeClr val="lt1"/>
    </dgm:linClrLst>
    <dgm:effectClrLst/>
    <dgm:txLinClrLst/>
    <dgm:txFillClrLst/>
    <dgm:txEffectClrLst/>
  </dgm:styleLbl>
  <dgm:styleLbl name="lnNode1">
    <dgm:fillClrLst>
      <a:schemeClr val="accent1">
        <a:shade val="80000"/>
      </a:schemeClr>
      <a:schemeClr val="accent1">
        <a:tint val="70000"/>
      </a:schemeClr>
    </dgm:fillClrLst>
    <dgm:linClrLst meth="repeat">
      <a:schemeClr val="lt1"/>
    </dgm:linClrLst>
    <dgm:effectClrLst/>
    <dgm:txLinClrLst/>
    <dgm:txFillClrLst/>
    <dgm:txEffectClrLst/>
  </dgm:styleLbl>
  <dgm:styleLbl name="vennNode1">
    <dgm:fillClrLst>
      <a:schemeClr val="accent1">
        <a:shade val="80000"/>
        <a:alpha val="50000"/>
      </a:schemeClr>
      <a:schemeClr val="accent1">
        <a:tint val="70000"/>
        <a:alpha val="50000"/>
      </a:schemeClr>
    </dgm:fillClrLst>
    <dgm:linClrLst meth="repeat">
      <a:schemeClr val="lt1"/>
    </dgm:linClrLst>
    <dgm:effectClrLst/>
    <dgm:txLinClrLst/>
    <dgm:txFillClrLst/>
    <dgm:txEffectClrLst/>
  </dgm:styleLbl>
  <dgm:styleLbl name="node2">
    <dgm:fillClrLst>
      <a:schemeClr val="accent1">
        <a:tint val="99000"/>
      </a:schemeClr>
    </dgm:fillClrLst>
    <dgm:linClrLst meth="repeat">
      <a:schemeClr val="lt1"/>
    </dgm:linClrLst>
    <dgm:effectClrLst/>
    <dgm:txLinClrLst/>
    <dgm:txFillClrLst/>
    <dgm:txEffectClrLst/>
  </dgm:styleLbl>
  <dgm:styleLbl name="node3">
    <dgm:fillClrLst>
      <a:schemeClr val="accent1">
        <a:tint val="80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dgm:txEffectClrLst/>
  </dgm:styleLbl>
  <dgm:styleLbl name="fgSibTrans2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meth="repeat">
      <a:schemeClr val="lt1"/>
    </dgm:txFillClrLst>
    <dgm:txEffectClrLst/>
  </dgm:styleLbl>
  <dgm:styleLbl name="bgSibTrans2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meth="repeat">
      <a:schemeClr val="lt1"/>
    </dgm:txFillClrLst>
    <dgm:txEffectClrLst/>
  </dgm:styleLbl>
  <dgm:styleLbl name="sibTrans1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9000"/>
      </a:schemeClr>
    </dgm:fillClrLst>
    <dgm:linClrLst meth="repeat">
      <a:schemeClr val="lt1"/>
    </dgm:linClrLst>
    <dgm:effectClrLst/>
    <dgm:txLinClrLst/>
    <dgm:txFillClrLst/>
    <dgm:txEffectClrLst/>
  </dgm:styleLbl>
  <dgm:styleLbl name="asst3">
    <dgm:fillClrLst>
      <a:schemeClr val="accent1">
        <a:tint val="80000"/>
      </a:schemeClr>
    </dgm:fillClrLst>
    <dgm:linClrLst meth="repeat">
      <a:schemeClr val="lt1"/>
    </dgm:linClrLst>
    <dgm:effectClrLst/>
    <dgm:txLinClrLst/>
    <dgm:txFillClrLst/>
    <dgm:txEffectClrLst/>
  </dgm:styleLbl>
  <dgm:styleLbl name="asst4">
    <dgm:fillClrLst>
      <a:schemeClr val="accent1">
        <a:tint val="7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lt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9000"/>
      </a:schemeClr>
    </dgm:fillClrLst>
    <dgm:linClrLst meth="repeat">
      <a:schemeClr val="accent1">
        <a:tint val="99000"/>
      </a:schemeClr>
    </dgm:linClrLst>
    <dgm:effectClrLst/>
    <dgm:txLinClrLst/>
    <dgm:txFillClrLst meth="repeat">
      <a:schemeClr val="tx1"/>
    </dgm:txFillClrLst>
    <dgm:txEffectClrLst/>
  </dgm:styleLbl>
  <dgm:styleLbl name="parChTrans1D3">
    <dgm:fillClrLst meth="repeat">
      <a:schemeClr val="accent1">
        <a:tint val="80000"/>
      </a:schemeClr>
    </dgm:fillClrLst>
    <dgm:linClrLst meth="repeat">
      <a:schemeClr val="accent1">
        <a:tint val="80000"/>
      </a:schemeClr>
    </dgm:linClrLst>
    <dgm:effectClrLst/>
    <dgm:txLinClrLst/>
    <dgm:txFillClrLst meth="repeat">
      <a:schemeClr val="tx1"/>
    </dgm:txFillClrLst>
    <dgm:txEffectClrLst/>
  </dgm:styleLbl>
  <dgm:styleLbl name="parChTrans1D4">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solidFgAcc1">
    <dgm:fillClrLst meth="repeat">
      <a:schemeClr val="lt1"/>
    </dgm:fillClrLst>
    <dgm:linClrLst>
      <a:schemeClr val="accent1">
        <a:shade val="80000"/>
      </a:schemeClr>
      <a:schemeClr val="accent1">
        <a:tint val="7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9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8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3">
  <dgm:title val=""/>
  <dgm:desc val=""/>
  <dgm:catLst>
    <dgm:cat type="accent1" pri="11300"/>
  </dgm:catLst>
  <dgm:styleLbl name="node0">
    <dgm:fillClrLst meth="repeat">
      <a:schemeClr val="accent1">
        <a:shade val="80000"/>
      </a:schemeClr>
    </dgm:fillClrLst>
    <dgm:linClrLst meth="repeat">
      <a:schemeClr val="lt1"/>
    </dgm:linClrLst>
    <dgm:effectClrLst/>
    <dgm:txLinClrLst/>
    <dgm:txFillClrLst/>
    <dgm:txEffectClrLst/>
  </dgm:styleLbl>
  <dgm:styleLbl name="alignNode1">
    <dgm:fillClrLst>
      <a:schemeClr val="accent1">
        <a:shade val="80000"/>
      </a:schemeClr>
      <a:schemeClr val="accent1">
        <a:tint val="70000"/>
      </a:schemeClr>
    </dgm:fillClrLst>
    <dgm:linClrLst>
      <a:schemeClr val="accent1">
        <a:shade val="80000"/>
      </a:schemeClr>
      <a:schemeClr val="accent1">
        <a:tint val="70000"/>
      </a:schemeClr>
    </dgm:linClrLst>
    <dgm:effectClrLst/>
    <dgm:txLinClrLst/>
    <dgm:txFillClrLst/>
    <dgm:txEffectClrLst/>
  </dgm:styleLbl>
  <dgm:styleLbl name="node1">
    <dgm:fillClrLst>
      <a:schemeClr val="accent1">
        <a:shade val="80000"/>
      </a:schemeClr>
      <a:schemeClr val="accent1">
        <a:tint val="70000"/>
      </a:schemeClr>
    </dgm:fillClrLst>
    <dgm:linClrLst meth="repeat">
      <a:schemeClr val="lt1"/>
    </dgm:linClrLst>
    <dgm:effectClrLst/>
    <dgm:txLinClrLst/>
    <dgm:txFillClrLst/>
    <dgm:txEffectClrLst/>
  </dgm:styleLbl>
  <dgm:styleLbl name="lnNode1">
    <dgm:fillClrLst>
      <a:schemeClr val="accent1">
        <a:shade val="80000"/>
      </a:schemeClr>
      <a:schemeClr val="accent1">
        <a:tint val="70000"/>
      </a:schemeClr>
    </dgm:fillClrLst>
    <dgm:linClrLst meth="repeat">
      <a:schemeClr val="lt1"/>
    </dgm:linClrLst>
    <dgm:effectClrLst/>
    <dgm:txLinClrLst/>
    <dgm:txFillClrLst/>
    <dgm:txEffectClrLst/>
  </dgm:styleLbl>
  <dgm:styleLbl name="vennNode1">
    <dgm:fillClrLst>
      <a:schemeClr val="accent1">
        <a:shade val="80000"/>
        <a:alpha val="50000"/>
      </a:schemeClr>
      <a:schemeClr val="accent1">
        <a:tint val="70000"/>
        <a:alpha val="50000"/>
      </a:schemeClr>
    </dgm:fillClrLst>
    <dgm:linClrLst meth="repeat">
      <a:schemeClr val="lt1"/>
    </dgm:linClrLst>
    <dgm:effectClrLst/>
    <dgm:txLinClrLst/>
    <dgm:txFillClrLst/>
    <dgm:txEffectClrLst/>
  </dgm:styleLbl>
  <dgm:styleLbl name="node2">
    <dgm:fillClrLst>
      <a:schemeClr val="accent1">
        <a:tint val="99000"/>
      </a:schemeClr>
    </dgm:fillClrLst>
    <dgm:linClrLst meth="repeat">
      <a:schemeClr val="lt1"/>
    </dgm:linClrLst>
    <dgm:effectClrLst/>
    <dgm:txLinClrLst/>
    <dgm:txFillClrLst/>
    <dgm:txEffectClrLst/>
  </dgm:styleLbl>
  <dgm:styleLbl name="node3">
    <dgm:fillClrLst>
      <a:schemeClr val="accent1">
        <a:tint val="80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dgm:txEffectClrLst/>
  </dgm:styleLbl>
  <dgm:styleLbl name="fgSibTrans2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meth="repeat">
      <a:schemeClr val="lt1"/>
    </dgm:txFillClrLst>
    <dgm:txEffectClrLst/>
  </dgm:styleLbl>
  <dgm:styleLbl name="bgSibTrans2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meth="repeat">
      <a:schemeClr val="lt1"/>
    </dgm:txFillClrLst>
    <dgm:txEffectClrLst/>
  </dgm:styleLbl>
  <dgm:styleLbl name="sibTrans1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9000"/>
      </a:schemeClr>
    </dgm:fillClrLst>
    <dgm:linClrLst meth="repeat">
      <a:schemeClr val="lt1"/>
    </dgm:linClrLst>
    <dgm:effectClrLst/>
    <dgm:txLinClrLst/>
    <dgm:txFillClrLst/>
    <dgm:txEffectClrLst/>
  </dgm:styleLbl>
  <dgm:styleLbl name="asst3">
    <dgm:fillClrLst>
      <a:schemeClr val="accent1">
        <a:tint val="80000"/>
      </a:schemeClr>
    </dgm:fillClrLst>
    <dgm:linClrLst meth="repeat">
      <a:schemeClr val="lt1"/>
    </dgm:linClrLst>
    <dgm:effectClrLst/>
    <dgm:txLinClrLst/>
    <dgm:txFillClrLst/>
    <dgm:txEffectClrLst/>
  </dgm:styleLbl>
  <dgm:styleLbl name="asst4">
    <dgm:fillClrLst>
      <a:schemeClr val="accent1">
        <a:tint val="7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lt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9000"/>
      </a:schemeClr>
    </dgm:fillClrLst>
    <dgm:linClrLst meth="repeat">
      <a:schemeClr val="accent1">
        <a:tint val="99000"/>
      </a:schemeClr>
    </dgm:linClrLst>
    <dgm:effectClrLst/>
    <dgm:txLinClrLst/>
    <dgm:txFillClrLst meth="repeat">
      <a:schemeClr val="tx1"/>
    </dgm:txFillClrLst>
    <dgm:txEffectClrLst/>
  </dgm:styleLbl>
  <dgm:styleLbl name="parChTrans1D3">
    <dgm:fillClrLst meth="repeat">
      <a:schemeClr val="accent1">
        <a:tint val="80000"/>
      </a:schemeClr>
    </dgm:fillClrLst>
    <dgm:linClrLst meth="repeat">
      <a:schemeClr val="accent1">
        <a:tint val="80000"/>
      </a:schemeClr>
    </dgm:linClrLst>
    <dgm:effectClrLst/>
    <dgm:txLinClrLst/>
    <dgm:txFillClrLst meth="repeat">
      <a:schemeClr val="tx1"/>
    </dgm:txFillClrLst>
    <dgm:txEffectClrLst/>
  </dgm:styleLbl>
  <dgm:styleLbl name="parChTrans1D4">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solidFgAcc1">
    <dgm:fillClrLst meth="repeat">
      <a:schemeClr val="lt1"/>
    </dgm:fillClrLst>
    <dgm:linClrLst>
      <a:schemeClr val="accent1">
        <a:shade val="80000"/>
      </a:schemeClr>
      <a:schemeClr val="accent1">
        <a:tint val="7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9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8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F1157B0-13E1-46EC-81E2-473620D964AE}" type="doc">
      <dgm:prSet loTypeId="urn:microsoft.com/office/officeart/2005/8/layout/chevron1" loCatId="process" qsTypeId="urn:microsoft.com/office/officeart/2005/8/quickstyle/simple1" qsCatId="simple" csTypeId="urn:microsoft.com/office/officeart/2005/8/colors/accent1_3" csCatId="accent1" phldr="1"/>
      <dgm:spPr/>
    </dgm:pt>
    <dgm:pt modelId="{D129AE44-ED87-4E4E-94D7-1BF55B7F6A4C}">
      <dgm:prSet phldrT="[Texte]" custT="1"/>
      <dgm:spPr/>
      <dgm:t>
        <a:bodyPr/>
        <a:lstStyle/>
        <a:p>
          <a:r>
            <a:rPr lang="en-GB" sz="1400"/>
            <a:t>Step 1: Selection and description of the sources </a:t>
          </a:r>
        </a:p>
      </dgm:t>
    </dgm:pt>
    <dgm:pt modelId="{FB6A7C72-AB67-40A6-B7D7-336BF920DE86}" type="parTrans" cxnId="{D2B707AE-D8FF-4F8E-AD3E-72CD4E59D8D4}">
      <dgm:prSet/>
      <dgm:spPr/>
      <dgm:t>
        <a:bodyPr/>
        <a:lstStyle/>
        <a:p>
          <a:endParaRPr lang="en-GB" sz="1400"/>
        </a:p>
      </dgm:t>
    </dgm:pt>
    <dgm:pt modelId="{9C286111-9C20-43A6-8A7C-D1A1B4CFDEA4}" type="sibTrans" cxnId="{D2B707AE-D8FF-4F8E-AD3E-72CD4E59D8D4}">
      <dgm:prSet/>
      <dgm:spPr/>
      <dgm:t>
        <a:bodyPr/>
        <a:lstStyle/>
        <a:p>
          <a:endParaRPr lang="en-GB" sz="1400"/>
        </a:p>
      </dgm:t>
    </dgm:pt>
    <dgm:pt modelId="{17FDB521-B1CF-4C3C-9E19-D0F9D95DDCA4}">
      <dgm:prSet phldrT="[Texte]" custT="1"/>
      <dgm:spPr/>
      <dgm:t>
        <a:bodyPr/>
        <a:lstStyle/>
        <a:p>
          <a:r>
            <a:rPr lang="en-GB" sz="1400"/>
            <a:t>Step 2: Quality screening</a:t>
          </a:r>
        </a:p>
      </dgm:t>
    </dgm:pt>
    <dgm:pt modelId="{922CC8E7-58FC-4CD3-A598-F1A9333FED28}" type="parTrans" cxnId="{9E3198F5-ABF5-48E6-BCA5-9D0B42BFDBC5}">
      <dgm:prSet/>
      <dgm:spPr/>
      <dgm:t>
        <a:bodyPr/>
        <a:lstStyle/>
        <a:p>
          <a:endParaRPr lang="en-GB" sz="1400"/>
        </a:p>
      </dgm:t>
    </dgm:pt>
    <dgm:pt modelId="{3EA6F65D-A238-468E-8703-1C6A03573B1F}" type="sibTrans" cxnId="{9E3198F5-ABF5-48E6-BCA5-9D0B42BFDBC5}">
      <dgm:prSet/>
      <dgm:spPr/>
      <dgm:t>
        <a:bodyPr/>
        <a:lstStyle/>
        <a:p>
          <a:endParaRPr lang="en-GB" sz="1400"/>
        </a:p>
      </dgm:t>
    </dgm:pt>
    <dgm:pt modelId="{F6894962-E542-459C-AACB-1F153149A3B4}">
      <dgm:prSet phldrT="[Texte]" custT="1"/>
      <dgm:spPr/>
      <dgm:t>
        <a:bodyPr/>
        <a:lstStyle/>
        <a:p>
          <a:r>
            <a:rPr lang="en-GB" sz="1400">
              <a:solidFill>
                <a:schemeClr val="bg1"/>
              </a:solidFill>
            </a:rPr>
            <a:t>Step 3: Comparative analysis and ranking of the  sources</a:t>
          </a:r>
        </a:p>
      </dgm:t>
    </dgm:pt>
    <dgm:pt modelId="{5CAEED3E-7992-402B-8966-55943254AB25}" type="parTrans" cxnId="{5AF91615-F14D-4706-B96C-1DF63E855573}">
      <dgm:prSet/>
      <dgm:spPr/>
      <dgm:t>
        <a:bodyPr/>
        <a:lstStyle/>
        <a:p>
          <a:endParaRPr lang="en-GB" sz="1400"/>
        </a:p>
      </dgm:t>
    </dgm:pt>
    <dgm:pt modelId="{8BB7FFBF-0809-40F4-BA88-659250F88895}" type="sibTrans" cxnId="{5AF91615-F14D-4706-B96C-1DF63E855573}">
      <dgm:prSet/>
      <dgm:spPr/>
      <dgm:t>
        <a:bodyPr/>
        <a:lstStyle/>
        <a:p>
          <a:endParaRPr lang="en-GB" sz="1400"/>
        </a:p>
      </dgm:t>
    </dgm:pt>
    <dgm:pt modelId="{223B4D33-40A0-475C-B5C8-DB4578F225D8}" type="pres">
      <dgm:prSet presAssocID="{9F1157B0-13E1-46EC-81E2-473620D964AE}" presName="Name0" presStyleCnt="0">
        <dgm:presLayoutVars>
          <dgm:dir/>
          <dgm:animLvl val="lvl"/>
          <dgm:resizeHandles val="exact"/>
        </dgm:presLayoutVars>
      </dgm:prSet>
      <dgm:spPr/>
    </dgm:pt>
    <dgm:pt modelId="{2E4B1BC9-943C-4FBC-9D49-486B6FBEA89B}" type="pres">
      <dgm:prSet presAssocID="{D129AE44-ED87-4E4E-94D7-1BF55B7F6A4C}" presName="parTxOnly" presStyleLbl="node1" presStyleIdx="0" presStyleCnt="3" custScaleX="71877" custLinFactNeighborX="745" custLinFactNeighborY="6051">
        <dgm:presLayoutVars>
          <dgm:chMax val="0"/>
          <dgm:chPref val="0"/>
          <dgm:bulletEnabled val="1"/>
        </dgm:presLayoutVars>
      </dgm:prSet>
      <dgm:spPr/>
    </dgm:pt>
    <dgm:pt modelId="{956E530D-951E-4786-B37B-07E31CF562AA}" type="pres">
      <dgm:prSet presAssocID="{9C286111-9C20-43A6-8A7C-D1A1B4CFDEA4}" presName="parTxOnlySpace" presStyleCnt="0"/>
      <dgm:spPr/>
    </dgm:pt>
    <dgm:pt modelId="{48F860AC-82D6-4DE3-A026-EFA38B851CA4}" type="pres">
      <dgm:prSet presAssocID="{17FDB521-B1CF-4C3C-9E19-D0F9D95DDCA4}" presName="parTxOnly" presStyleLbl="node1" presStyleIdx="1" presStyleCnt="3" custScaleX="30208" custLinFactNeighborX="-72280">
        <dgm:presLayoutVars>
          <dgm:chMax val="0"/>
          <dgm:chPref val="0"/>
          <dgm:bulletEnabled val="1"/>
        </dgm:presLayoutVars>
      </dgm:prSet>
      <dgm:spPr/>
    </dgm:pt>
    <dgm:pt modelId="{DBB10B0B-8387-4C03-9F54-32FEAFE15443}" type="pres">
      <dgm:prSet presAssocID="{3EA6F65D-A238-468E-8703-1C6A03573B1F}" presName="parTxOnlySpace" presStyleCnt="0"/>
      <dgm:spPr/>
    </dgm:pt>
    <dgm:pt modelId="{273E072A-BBA7-4394-ACD1-E24478FA8FB4}" type="pres">
      <dgm:prSet presAssocID="{F6894962-E542-459C-AACB-1F153149A3B4}" presName="parTxOnly" presStyleLbl="node1" presStyleIdx="2" presStyleCnt="3" custScaleX="25226" custLinFactNeighborX="0">
        <dgm:presLayoutVars>
          <dgm:chMax val="0"/>
          <dgm:chPref val="0"/>
          <dgm:bulletEnabled val="1"/>
        </dgm:presLayoutVars>
      </dgm:prSet>
      <dgm:spPr/>
    </dgm:pt>
  </dgm:ptLst>
  <dgm:cxnLst>
    <dgm:cxn modelId="{5AF91615-F14D-4706-B96C-1DF63E855573}" srcId="{9F1157B0-13E1-46EC-81E2-473620D964AE}" destId="{F6894962-E542-459C-AACB-1F153149A3B4}" srcOrd="2" destOrd="0" parTransId="{5CAEED3E-7992-402B-8966-55943254AB25}" sibTransId="{8BB7FFBF-0809-40F4-BA88-659250F88895}"/>
    <dgm:cxn modelId="{5EE9BD38-DB3F-43BD-9F73-25196749737D}" type="presOf" srcId="{F6894962-E542-459C-AACB-1F153149A3B4}" destId="{273E072A-BBA7-4394-ACD1-E24478FA8FB4}" srcOrd="0" destOrd="0" presId="urn:microsoft.com/office/officeart/2005/8/layout/chevron1"/>
    <dgm:cxn modelId="{7D194078-9C0C-40CC-A4F7-542490BFD7D7}" type="presOf" srcId="{17FDB521-B1CF-4C3C-9E19-D0F9D95DDCA4}" destId="{48F860AC-82D6-4DE3-A026-EFA38B851CA4}" srcOrd="0" destOrd="0" presId="urn:microsoft.com/office/officeart/2005/8/layout/chevron1"/>
    <dgm:cxn modelId="{4CB01F7F-5A6E-4256-ADE8-FF4BD68CDD90}" type="presOf" srcId="{9F1157B0-13E1-46EC-81E2-473620D964AE}" destId="{223B4D33-40A0-475C-B5C8-DB4578F225D8}" srcOrd="0" destOrd="0" presId="urn:microsoft.com/office/officeart/2005/8/layout/chevron1"/>
    <dgm:cxn modelId="{48314DAC-1CEC-4BFE-B4E7-697C4E55818B}" type="presOf" srcId="{D129AE44-ED87-4E4E-94D7-1BF55B7F6A4C}" destId="{2E4B1BC9-943C-4FBC-9D49-486B6FBEA89B}" srcOrd="0" destOrd="0" presId="urn:microsoft.com/office/officeart/2005/8/layout/chevron1"/>
    <dgm:cxn modelId="{D2B707AE-D8FF-4F8E-AD3E-72CD4E59D8D4}" srcId="{9F1157B0-13E1-46EC-81E2-473620D964AE}" destId="{D129AE44-ED87-4E4E-94D7-1BF55B7F6A4C}" srcOrd="0" destOrd="0" parTransId="{FB6A7C72-AB67-40A6-B7D7-336BF920DE86}" sibTransId="{9C286111-9C20-43A6-8A7C-D1A1B4CFDEA4}"/>
    <dgm:cxn modelId="{9E3198F5-ABF5-48E6-BCA5-9D0B42BFDBC5}" srcId="{9F1157B0-13E1-46EC-81E2-473620D964AE}" destId="{17FDB521-B1CF-4C3C-9E19-D0F9D95DDCA4}" srcOrd="1" destOrd="0" parTransId="{922CC8E7-58FC-4CD3-A598-F1A9333FED28}" sibTransId="{3EA6F65D-A238-468E-8703-1C6A03573B1F}"/>
    <dgm:cxn modelId="{451C7F9A-417A-4FA3-959F-ADFEA8DE2DEA}" type="presParOf" srcId="{223B4D33-40A0-475C-B5C8-DB4578F225D8}" destId="{2E4B1BC9-943C-4FBC-9D49-486B6FBEA89B}" srcOrd="0" destOrd="0" presId="urn:microsoft.com/office/officeart/2005/8/layout/chevron1"/>
    <dgm:cxn modelId="{A0CE3F44-B5A5-4F44-9849-128E77F8FE0F}" type="presParOf" srcId="{223B4D33-40A0-475C-B5C8-DB4578F225D8}" destId="{956E530D-951E-4786-B37B-07E31CF562AA}" srcOrd="1" destOrd="0" presId="urn:microsoft.com/office/officeart/2005/8/layout/chevron1"/>
    <dgm:cxn modelId="{1F51D1FF-24B8-4B6E-8342-DBF4A86AA104}" type="presParOf" srcId="{223B4D33-40A0-475C-B5C8-DB4578F225D8}" destId="{48F860AC-82D6-4DE3-A026-EFA38B851CA4}" srcOrd="2" destOrd="0" presId="urn:microsoft.com/office/officeart/2005/8/layout/chevron1"/>
    <dgm:cxn modelId="{85F7E8A4-7EB5-4C98-9A85-B1F8347E0E5E}" type="presParOf" srcId="{223B4D33-40A0-475C-B5C8-DB4578F225D8}" destId="{DBB10B0B-8387-4C03-9F54-32FEAFE15443}" srcOrd="3" destOrd="0" presId="urn:microsoft.com/office/officeart/2005/8/layout/chevron1"/>
    <dgm:cxn modelId="{541D5087-D729-441C-833D-5BA99BDED15E}" type="presParOf" srcId="{223B4D33-40A0-475C-B5C8-DB4578F225D8}" destId="{273E072A-BBA7-4394-ACD1-E24478FA8FB4}" srcOrd="4" destOrd="0" presId="urn:microsoft.com/office/officeart/2005/8/layout/chevro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F1157B0-13E1-46EC-81E2-473620D964AE}" type="doc">
      <dgm:prSet loTypeId="urn:microsoft.com/office/officeart/2005/8/layout/chevron1" loCatId="process" qsTypeId="urn:microsoft.com/office/officeart/2005/8/quickstyle/simple1" qsCatId="simple" csTypeId="urn:microsoft.com/office/officeart/2005/8/colors/accent1_3" csCatId="accent1" phldr="1"/>
      <dgm:spPr/>
    </dgm:pt>
    <dgm:pt modelId="{D129AE44-ED87-4E4E-94D7-1BF55B7F6A4C}">
      <dgm:prSet phldrT="[Texte]" custT="1"/>
      <dgm:spPr/>
      <dgm:t>
        <a:bodyPr/>
        <a:lstStyle/>
        <a:p>
          <a:r>
            <a:rPr lang="en-GB" sz="1400"/>
            <a:t>Step 1: Selection and description of the sources </a:t>
          </a:r>
        </a:p>
      </dgm:t>
    </dgm:pt>
    <dgm:pt modelId="{FB6A7C72-AB67-40A6-B7D7-336BF920DE86}" type="parTrans" cxnId="{D2B707AE-D8FF-4F8E-AD3E-72CD4E59D8D4}">
      <dgm:prSet/>
      <dgm:spPr/>
      <dgm:t>
        <a:bodyPr/>
        <a:lstStyle/>
        <a:p>
          <a:endParaRPr lang="en-GB" sz="1400"/>
        </a:p>
      </dgm:t>
    </dgm:pt>
    <dgm:pt modelId="{9C286111-9C20-43A6-8A7C-D1A1B4CFDEA4}" type="sibTrans" cxnId="{D2B707AE-D8FF-4F8E-AD3E-72CD4E59D8D4}">
      <dgm:prSet/>
      <dgm:spPr/>
      <dgm:t>
        <a:bodyPr/>
        <a:lstStyle/>
        <a:p>
          <a:endParaRPr lang="en-GB" sz="1400"/>
        </a:p>
      </dgm:t>
    </dgm:pt>
    <dgm:pt modelId="{17FDB521-B1CF-4C3C-9E19-D0F9D95DDCA4}">
      <dgm:prSet phldrT="[Texte]" custT="1"/>
      <dgm:spPr/>
      <dgm:t>
        <a:bodyPr/>
        <a:lstStyle/>
        <a:p>
          <a:r>
            <a:rPr lang="en-GB" sz="1400"/>
            <a:t>Step 2: Quality screening</a:t>
          </a:r>
        </a:p>
      </dgm:t>
    </dgm:pt>
    <dgm:pt modelId="{922CC8E7-58FC-4CD3-A598-F1A9333FED28}" type="parTrans" cxnId="{9E3198F5-ABF5-48E6-BCA5-9D0B42BFDBC5}">
      <dgm:prSet/>
      <dgm:spPr/>
      <dgm:t>
        <a:bodyPr/>
        <a:lstStyle/>
        <a:p>
          <a:endParaRPr lang="en-GB" sz="1400"/>
        </a:p>
      </dgm:t>
    </dgm:pt>
    <dgm:pt modelId="{3EA6F65D-A238-468E-8703-1C6A03573B1F}" type="sibTrans" cxnId="{9E3198F5-ABF5-48E6-BCA5-9D0B42BFDBC5}">
      <dgm:prSet/>
      <dgm:spPr/>
      <dgm:t>
        <a:bodyPr/>
        <a:lstStyle/>
        <a:p>
          <a:endParaRPr lang="en-GB" sz="1400"/>
        </a:p>
      </dgm:t>
    </dgm:pt>
    <dgm:pt modelId="{F6894962-E542-459C-AACB-1F153149A3B4}">
      <dgm:prSet phldrT="[Texte]" custT="1"/>
      <dgm:spPr/>
      <dgm:t>
        <a:bodyPr/>
        <a:lstStyle/>
        <a:p>
          <a:r>
            <a:rPr lang="en-GB" sz="1400">
              <a:solidFill>
                <a:schemeClr val="bg1"/>
              </a:solidFill>
            </a:rPr>
            <a:t>Step 3: Comparative analysis and ranking of the  sources</a:t>
          </a:r>
        </a:p>
      </dgm:t>
    </dgm:pt>
    <dgm:pt modelId="{5CAEED3E-7992-402B-8966-55943254AB25}" type="parTrans" cxnId="{5AF91615-F14D-4706-B96C-1DF63E855573}">
      <dgm:prSet/>
      <dgm:spPr/>
      <dgm:t>
        <a:bodyPr/>
        <a:lstStyle/>
        <a:p>
          <a:endParaRPr lang="en-GB" sz="1400"/>
        </a:p>
      </dgm:t>
    </dgm:pt>
    <dgm:pt modelId="{8BB7FFBF-0809-40F4-BA88-659250F88895}" type="sibTrans" cxnId="{5AF91615-F14D-4706-B96C-1DF63E855573}">
      <dgm:prSet/>
      <dgm:spPr/>
      <dgm:t>
        <a:bodyPr/>
        <a:lstStyle/>
        <a:p>
          <a:endParaRPr lang="en-GB" sz="1400"/>
        </a:p>
      </dgm:t>
    </dgm:pt>
    <dgm:pt modelId="{223B4D33-40A0-475C-B5C8-DB4578F225D8}" type="pres">
      <dgm:prSet presAssocID="{9F1157B0-13E1-46EC-81E2-473620D964AE}" presName="Name0" presStyleCnt="0">
        <dgm:presLayoutVars>
          <dgm:dir/>
          <dgm:animLvl val="lvl"/>
          <dgm:resizeHandles val="exact"/>
        </dgm:presLayoutVars>
      </dgm:prSet>
      <dgm:spPr/>
    </dgm:pt>
    <dgm:pt modelId="{2E4B1BC9-943C-4FBC-9D49-486B6FBEA89B}" type="pres">
      <dgm:prSet presAssocID="{D129AE44-ED87-4E4E-94D7-1BF55B7F6A4C}" presName="parTxOnly" presStyleLbl="node1" presStyleIdx="0" presStyleCnt="3" custScaleX="67252" custLinFactNeighborX="-52701">
        <dgm:presLayoutVars>
          <dgm:chMax val="0"/>
          <dgm:chPref val="0"/>
          <dgm:bulletEnabled val="1"/>
        </dgm:presLayoutVars>
      </dgm:prSet>
      <dgm:spPr/>
    </dgm:pt>
    <dgm:pt modelId="{956E530D-951E-4786-B37B-07E31CF562AA}" type="pres">
      <dgm:prSet presAssocID="{9C286111-9C20-43A6-8A7C-D1A1B4CFDEA4}" presName="parTxOnlySpace" presStyleCnt="0"/>
      <dgm:spPr/>
    </dgm:pt>
    <dgm:pt modelId="{48F860AC-82D6-4DE3-A026-EFA38B851CA4}" type="pres">
      <dgm:prSet presAssocID="{17FDB521-B1CF-4C3C-9E19-D0F9D95DDCA4}" presName="parTxOnly" presStyleLbl="node1" presStyleIdx="1" presStyleCnt="3" custScaleX="24949" custLinFactNeighborX="-71298" custLinFactNeighborY="2720">
        <dgm:presLayoutVars>
          <dgm:chMax val="0"/>
          <dgm:chPref val="0"/>
          <dgm:bulletEnabled val="1"/>
        </dgm:presLayoutVars>
      </dgm:prSet>
      <dgm:spPr/>
    </dgm:pt>
    <dgm:pt modelId="{DBB10B0B-8387-4C03-9F54-32FEAFE15443}" type="pres">
      <dgm:prSet presAssocID="{3EA6F65D-A238-468E-8703-1C6A03573B1F}" presName="parTxOnlySpace" presStyleCnt="0"/>
      <dgm:spPr/>
    </dgm:pt>
    <dgm:pt modelId="{273E072A-BBA7-4394-ACD1-E24478FA8FB4}" type="pres">
      <dgm:prSet presAssocID="{F6894962-E542-459C-AACB-1F153149A3B4}" presName="parTxOnly" presStyleLbl="node1" presStyleIdx="2" presStyleCnt="3" custScaleX="23071" custLinFactNeighborX="17821">
        <dgm:presLayoutVars>
          <dgm:chMax val="0"/>
          <dgm:chPref val="0"/>
          <dgm:bulletEnabled val="1"/>
        </dgm:presLayoutVars>
      </dgm:prSet>
      <dgm:spPr/>
    </dgm:pt>
  </dgm:ptLst>
  <dgm:cxnLst>
    <dgm:cxn modelId="{5AF91615-F14D-4706-B96C-1DF63E855573}" srcId="{9F1157B0-13E1-46EC-81E2-473620D964AE}" destId="{F6894962-E542-459C-AACB-1F153149A3B4}" srcOrd="2" destOrd="0" parTransId="{5CAEED3E-7992-402B-8966-55943254AB25}" sibTransId="{8BB7FFBF-0809-40F4-BA88-659250F88895}"/>
    <dgm:cxn modelId="{5EE9BD38-DB3F-43BD-9F73-25196749737D}" type="presOf" srcId="{F6894962-E542-459C-AACB-1F153149A3B4}" destId="{273E072A-BBA7-4394-ACD1-E24478FA8FB4}" srcOrd="0" destOrd="0" presId="urn:microsoft.com/office/officeart/2005/8/layout/chevron1"/>
    <dgm:cxn modelId="{7D194078-9C0C-40CC-A4F7-542490BFD7D7}" type="presOf" srcId="{17FDB521-B1CF-4C3C-9E19-D0F9D95DDCA4}" destId="{48F860AC-82D6-4DE3-A026-EFA38B851CA4}" srcOrd="0" destOrd="0" presId="urn:microsoft.com/office/officeart/2005/8/layout/chevron1"/>
    <dgm:cxn modelId="{4CB01F7F-5A6E-4256-ADE8-FF4BD68CDD90}" type="presOf" srcId="{9F1157B0-13E1-46EC-81E2-473620D964AE}" destId="{223B4D33-40A0-475C-B5C8-DB4578F225D8}" srcOrd="0" destOrd="0" presId="urn:microsoft.com/office/officeart/2005/8/layout/chevron1"/>
    <dgm:cxn modelId="{48314DAC-1CEC-4BFE-B4E7-697C4E55818B}" type="presOf" srcId="{D129AE44-ED87-4E4E-94D7-1BF55B7F6A4C}" destId="{2E4B1BC9-943C-4FBC-9D49-486B6FBEA89B}" srcOrd="0" destOrd="0" presId="urn:microsoft.com/office/officeart/2005/8/layout/chevron1"/>
    <dgm:cxn modelId="{D2B707AE-D8FF-4F8E-AD3E-72CD4E59D8D4}" srcId="{9F1157B0-13E1-46EC-81E2-473620D964AE}" destId="{D129AE44-ED87-4E4E-94D7-1BF55B7F6A4C}" srcOrd="0" destOrd="0" parTransId="{FB6A7C72-AB67-40A6-B7D7-336BF920DE86}" sibTransId="{9C286111-9C20-43A6-8A7C-D1A1B4CFDEA4}"/>
    <dgm:cxn modelId="{9E3198F5-ABF5-48E6-BCA5-9D0B42BFDBC5}" srcId="{9F1157B0-13E1-46EC-81E2-473620D964AE}" destId="{17FDB521-B1CF-4C3C-9E19-D0F9D95DDCA4}" srcOrd="1" destOrd="0" parTransId="{922CC8E7-58FC-4CD3-A598-F1A9333FED28}" sibTransId="{3EA6F65D-A238-468E-8703-1C6A03573B1F}"/>
    <dgm:cxn modelId="{451C7F9A-417A-4FA3-959F-ADFEA8DE2DEA}" type="presParOf" srcId="{223B4D33-40A0-475C-B5C8-DB4578F225D8}" destId="{2E4B1BC9-943C-4FBC-9D49-486B6FBEA89B}" srcOrd="0" destOrd="0" presId="urn:microsoft.com/office/officeart/2005/8/layout/chevron1"/>
    <dgm:cxn modelId="{A0CE3F44-B5A5-4F44-9849-128E77F8FE0F}" type="presParOf" srcId="{223B4D33-40A0-475C-B5C8-DB4578F225D8}" destId="{956E530D-951E-4786-B37B-07E31CF562AA}" srcOrd="1" destOrd="0" presId="urn:microsoft.com/office/officeart/2005/8/layout/chevron1"/>
    <dgm:cxn modelId="{1F51D1FF-24B8-4B6E-8342-DBF4A86AA104}" type="presParOf" srcId="{223B4D33-40A0-475C-B5C8-DB4578F225D8}" destId="{48F860AC-82D6-4DE3-A026-EFA38B851CA4}" srcOrd="2" destOrd="0" presId="urn:microsoft.com/office/officeart/2005/8/layout/chevron1"/>
    <dgm:cxn modelId="{85F7E8A4-7EB5-4C98-9A85-B1F8347E0E5E}" type="presParOf" srcId="{223B4D33-40A0-475C-B5C8-DB4578F225D8}" destId="{DBB10B0B-8387-4C03-9F54-32FEAFE15443}" srcOrd="3" destOrd="0" presId="urn:microsoft.com/office/officeart/2005/8/layout/chevron1"/>
    <dgm:cxn modelId="{541D5087-D729-441C-833D-5BA99BDED15E}" type="presParOf" srcId="{223B4D33-40A0-475C-B5C8-DB4578F225D8}" destId="{273E072A-BBA7-4394-ACD1-E24478FA8FB4}" srcOrd="4" destOrd="0" presId="urn:microsoft.com/office/officeart/2005/8/layout/chevro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9F1157B0-13E1-46EC-81E2-473620D964AE}" type="doc">
      <dgm:prSet loTypeId="urn:microsoft.com/office/officeart/2005/8/layout/chevron1" loCatId="process" qsTypeId="urn:microsoft.com/office/officeart/2005/8/quickstyle/simple1" qsCatId="simple" csTypeId="urn:microsoft.com/office/officeart/2005/8/colors/accent1_3" csCatId="accent1" phldr="1"/>
      <dgm:spPr/>
    </dgm:pt>
    <dgm:pt modelId="{D129AE44-ED87-4E4E-94D7-1BF55B7F6A4C}">
      <dgm:prSet phldrT="[Texte]" custT="1"/>
      <dgm:spPr/>
      <dgm:t>
        <a:bodyPr/>
        <a:lstStyle/>
        <a:p>
          <a:r>
            <a:rPr lang="en-GB" sz="1400"/>
            <a:t>Step 1: Selection and description of the sources </a:t>
          </a:r>
        </a:p>
      </dgm:t>
    </dgm:pt>
    <dgm:pt modelId="{FB6A7C72-AB67-40A6-B7D7-336BF920DE86}" type="parTrans" cxnId="{D2B707AE-D8FF-4F8E-AD3E-72CD4E59D8D4}">
      <dgm:prSet/>
      <dgm:spPr/>
      <dgm:t>
        <a:bodyPr/>
        <a:lstStyle/>
        <a:p>
          <a:endParaRPr lang="en-GB" sz="1400"/>
        </a:p>
      </dgm:t>
    </dgm:pt>
    <dgm:pt modelId="{9C286111-9C20-43A6-8A7C-D1A1B4CFDEA4}" type="sibTrans" cxnId="{D2B707AE-D8FF-4F8E-AD3E-72CD4E59D8D4}">
      <dgm:prSet/>
      <dgm:spPr/>
      <dgm:t>
        <a:bodyPr/>
        <a:lstStyle/>
        <a:p>
          <a:endParaRPr lang="en-GB" sz="1400"/>
        </a:p>
      </dgm:t>
    </dgm:pt>
    <dgm:pt modelId="{17FDB521-B1CF-4C3C-9E19-D0F9D95DDCA4}">
      <dgm:prSet phldrT="[Texte]" custT="1"/>
      <dgm:spPr/>
      <dgm:t>
        <a:bodyPr/>
        <a:lstStyle/>
        <a:p>
          <a:r>
            <a:rPr lang="en-GB" sz="1400"/>
            <a:t>Step 2: Quality screening</a:t>
          </a:r>
        </a:p>
      </dgm:t>
    </dgm:pt>
    <dgm:pt modelId="{922CC8E7-58FC-4CD3-A598-F1A9333FED28}" type="parTrans" cxnId="{9E3198F5-ABF5-48E6-BCA5-9D0B42BFDBC5}">
      <dgm:prSet/>
      <dgm:spPr/>
      <dgm:t>
        <a:bodyPr/>
        <a:lstStyle/>
        <a:p>
          <a:endParaRPr lang="en-GB" sz="1400"/>
        </a:p>
      </dgm:t>
    </dgm:pt>
    <dgm:pt modelId="{3EA6F65D-A238-468E-8703-1C6A03573B1F}" type="sibTrans" cxnId="{9E3198F5-ABF5-48E6-BCA5-9D0B42BFDBC5}">
      <dgm:prSet/>
      <dgm:spPr/>
      <dgm:t>
        <a:bodyPr/>
        <a:lstStyle/>
        <a:p>
          <a:endParaRPr lang="en-GB" sz="1400"/>
        </a:p>
      </dgm:t>
    </dgm:pt>
    <dgm:pt modelId="{F6894962-E542-459C-AACB-1F153149A3B4}">
      <dgm:prSet phldrT="[Texte]" custT="1"/>
      <dgm:spPr/>
      <dgm:t>
        <a:bodyPr/>
        <a:lstStyle/>
        <a:p>
          <a:r>
            <a:rPr lang="en-GB" sz="1400">
              <a:solidFill>
                <a:schemeClr val="bg1"/>
              </a:solidFill>
            </a:rPr>
            <a:t>Step 3: Comparative analysis and ranking of the  sources</a:t>
          </a:r>
        </a:p>
      </dgm:t>
    </dgm:pt>
    <dgm:pt modelId="{5CAEED3E-7992-402B-8966-55943254AB25}" type="parTrans" cxnId="{5AF91615-F14D-4706-B96C-1DF63E855573}">
      <dgm:prSet/>
      <dgm:spPr/>
      <dgm:t>
        <a:bodyPr/>
        <a:lstStyle/>
        <a:p>
          <a:endParaRPr lang="en-GB" sz="1400"/>
        </a:p>
      </dgm:t>
    </dgm:pt>
    <dgm:pt modelId="{8BB7FFBF-0809-40F4-BA88-659250F88895}" type="sibTrans" cxnId="{5AF91615-F14D-4706-B96C-1DF63E855573}">
      <dgm:prSet/>
      <dgm:spPr/>
      <dgm:t>
        <a:bodyPr/>
        <a:lstStyle/>
        <a:p>
          <a:endParaRPr lang="en-GB" sz="1400"/>
        </a:p>
      </dgm:t>
    </dgm:pt>
    <dgm:pt modelId="{223B4D33-40A0-475C-B5C8-DB4578F225D8}" type="pres">
      <dgm:prSet presAssocID="{9F1157B0-13E1-46EC-81E2-473620D964AE}" presName="Name0" presStyleCnt="0">
        <dgm:presLayoutVars>
          <dgm:dir/>
          <dgm:animLvl val="lvl"/>
          <dgm:resizeHandles val="exact"/>
        </dgm:presLayoutVars>
      </dgm:prSet>
      <dgm:spPr/>
    </dgm:pt>
    <dgm:pt modelId="{2E4B1BC9-943C-4FBC-9D49-486B6FBEA89B}" type="pres">
      <dgm:prSet presAssocID="{D129AE44-ED87-4E4E-94D7-1BF55B7F6A4C}" presName="parTxOnly" presStyleLbl="node1" presStyleIdx="0" presStyleCnt="3" custScaleX="88520" custLinFactNeighborX="745" custLinFactNeighborY="6051">
        <dgm:presLayoutVars>
          <dgm:chMax val="0"/>
          <dgm:chPref val="0"/>
          <dgm:bulletEnabled val="1"/>
        </dgm:presLayoutVars>
      </dgm:prSet>
      <dgm:spPr/>
    </dgm:pt>
    <dgm:pt modelId="{956E530D-951E-4786-B37B-07E31CF562AA}" type="pres">
      <dgm:prSet presAssocID="{9C286111-9C20-43A6-8A7C-D1A1B4CFDEA4}" presName="parTxOnlySpace" presStyleCnt="0"/>
      <dgm:spPr/>
    </dgm:pt>
    <dgm:pt modelId="{48F860AC-82D6-4DE3-A026-EFA38B851CA4}" type="pres">
      <dgm:prSet presAssocID="{17FDB521-B1CF-4C3C-9E19-D0F9D95DDCA4}" presName="parTxOnly" presStyleLbl="node1" presStyleIdx="1" presStyleCnt="3" custScaleX="35041" custLinFactNeighborX="-77041">
        <dgm:presLayoutVars>
          <dgm:chMax val="0"/>
          <dgm:chPref val="0"/>
          <dgm:bulletEnabled val="1"/>
        </dgm:presLayoutVars>
      </dgm:prSet>
      <dgm:spPr/>
    </dgm:pt>
    <dgm:pt modelId="{DBB10B0B-8387-4C03-9F54-32FEAFE15443}" type="pres">
      <dgm:prSet presAssocID="{3EA6F65D-A238-468E-8703-1C6A03573B1F}" presName="parTxOnlySpace" presStyleCnt="0"/>
      <dgm:spPr/>
    </dgm:pt>
    <dgm:pt modelId="{273E072A-BBA7-4394-ACD1-E24478FA8FB4}" type="pres">
      <dgm:prSet presAssocID="{F6894962-E542-459C-AACB-1F153149A3B4}" presName="parTxOnly" presStyleLbl="node1" presStyleIdx="2" presStyleCnt="3" custScaleX="32026" custLinFactNeighborX="-96">
        <dgm:presLayoutVars>
          <dgm:chMax val="0"/>
          <dgm:chPref val="0"/>
          <dgm:bulletEnabled val="1"/>
        </dgm:presLayoutVars>
      </dgm:prSet>
      <dgm:spPr/>
    </dgm:pt>
  </dgm:ptLst>
  <dgm:cxnLst>
    <dgm:cxn modelId="{5AF91615-F14D-4706-B96C-1DF63E855573}" srcId="{9F1157B0-13E1-46EC-81E2-473620D964AE}" destId="{F6894962-E542-459C-AACB-1F153149A3B4}" srcOrd="2" destOrd="0" parTransId="{5CAEED3E-7992-402B-8966-55943254AB25}" sibTransId="{8BB7FFBF-0809-40F4-BA88-659250F88895}"/>
    <dgm:cxn modelId="{5EE9BD38-DB3F-43BD-9F73-25196749737D}" type="presOf" srcId="{F6894962-E542-459C-AACB-1F153149A3B4}" destId="{273E072A-BBA7-4394-ACD1-E24478FA8FB4}" srcOrd="0" destOrd="0" presId="urn:microsoft.com/office/officeart/2005/8/layout/chevron1"/>
    <dgm:cxn modelId="{7D194078-9C0C-40CC-A4F7-542490BFD7D7}" type="presOf" srcId="{17FDB521-B1CF-4C3C-9E19-D0F9D95DDCA4}" destId="{48F860AC-82D6-4DE3-A026-EFA38B851CA4}" srcOrd="0" destOrd="0" presId="urn:microsoft.com/office/officeart/2005/8/layout/chevron1"/>
    <dgm:cxn modelId="{4CB01F7F-5A6E-4256-ADE8-FF4BD68CDD90}" type="presOf" srcId="{9F1157B0-13E1-46EC-81E2-473620D964AE}" destId="{223B4D33-40A0-475C-B5C8-DB4578F225D8}" srcOrd="0" destOrd="0" presId="urn:microsoft.com/office/officeart/2005/8/layout/chevron1"/>
    <dgm:cxn modelId="{48314DAC-1CEC-4BFE-B4E7-697C4E55818B}" type="presOf" srcId="{D129AE44-ED87-4E4E-94D7-1BF55B7F6A4C}" destId="{2E4B1BC9-943C-4FBC-9D49-486B6FBEA89B}" srcOrd="0" destOrd="0" presId="urn:microsoft.com/office/officeart/2005/8/layout/chevron1"/>
    <dgm:cxn modelId="{D2B707AE-D8FF-4F8E-AD3E-72CD4E59D8D4}" srcId="{9F1157B0-13E1-46EC-81E2-473620D964AE}" destId="{D129AE44-ED87-4E4E-94D7-1BF55B7F6A4C}" srcOrd="0" destOrd="0" parTransId="{FB6A7C72-AB67-40A6-B7D7-336BF920DE86}" sibTransId="{9C286111-9C20-43A6-8A7C-D1A1B4CFDEA4}"/>
    <dgm:cxn modelId="{9E3198F5-ABF5-48E6-BCA5-9D0B42BFDBC5}" srcId="{9F1157B0-13E1-46EC-81E2-473620D964AE}" destId="{17FDB521-B1CF-4C3C-9E19-D0F9D95DDCA4}" srcOrd="1" destOrd="0" parTransId="{922CC8E7-58FC-4CD3-A598-F1A9333FED28}" sibTransId="{3EA6F65D-A238-468E-8703-1C6A03573B1F}"/>
    <dgm:cxn modelId="{451C7F9A-417A-4FA3-959F-ADFEA8DE2DEA}" type="presParOf" srcId="{223B4D33-40A0-475C-B5C8-DB4578F225D8}" destId="{2E4B1BC9-943C-4FBC-9D49-486B6FBEA89B}" srcOrd="0" destOrd="0" presId="urn:microsoft.com/office/officeart/2005/8/layout/chevron1"/>
    <dgm:cxn modelId="{A0CE3F44-B5A5-4F44-9849-128E77F8FE0F}" type="presParOf" srcId="{223B4D33-40A0-475C-B5C8-DB4578F225D8}" destId="{956E530D-951E-4786-B37B-07E31CF562AA}" srcOrd="1" destOrd="0" presId="urn:microsoft.com/office/officeart/2005/8/layout/chevron1"/>
    <dgm:cxn modelId="{1F51D1FF-24B8-4B6E-8342-DBF4A86AA104}" type="presParOf" srcId="{223B4D33-40A0-475C-B5C8-DB4578F225D8}" destId="{48F860AC-82D6-4DE3-A026-EFA38B851CA4}" srcOrd="2" destOrd="0" presId="urn:microsoft.com/office/officeart/2005/8/layout/chevron1"/>
    <dgm:cxn modelId="{85F7E8A4-7EB5-4C98-9A85-B1F8347E0E5E}" type="presParOf" srcId="{223B4D33-40A0-475C-B5C8-DB4578F225D8}" destId="{DBB10B0B-8387-4C03-9F54-32FEAFE15443}" srcOrd="3" destOrd="0" presId="urn:microsoft.com/office/officeart/2005/8/layout/chevron1"/>
    <dgm:cxn modelId="{541D5087-D729-441C-833D-5BA99BDED15E}" type="presParOf" srcId="{223B4D33-40A0-475C-B5C8-DB4578F225D8}" destId="{273E072A-BBA7-4394-ACD1-E24478FA8FB4}" srcOrd="4" destOrd="0" presId="urn:microsoft.com/office/officeart/2005/8/layout/chevro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9F1157B0-13E1-46EC-81E2-473620D964AE}" type="doc">
      <dgm:prSet loTypeId="urn:microsoft.com/office/officeart/2005/8/layout/chevron1" loCatId="process" qsTypeId="urn:microsoft.com/office/officeart/2005/8/quickstyle/simple1" qsCatId="simple" csTypeId="urn:microsoft.com/office/officeart/2005/8/colors/accent1_3" csCatId="accent1" phldr="1"/>
      <dgm:spPr/>
    </dgm:pt>
    <dgm:pt modelId="{D129AE44-ED87-4E4E-94D7-1BF55B7F6A4C}">
      <dgm:prSet phldrT="[Texte]" custT="1"/>
      <dgm:spPr/>
      <dgm:t>
        <a:bodyPr/>
        <a:lstStyle/>
        <a:p>
          <a:r>
            <a:rPr lang="en-GB" sz="1400"/>
            <a:t>Step 1: Selection and description of the sources </a:t>
          </a:r>
        </a:p>
      </dgm:t>
    </dgm:pt>
    <dgm:pt modelId="{FB6A7C72-AB67-40A6-B7D7-336BF920DE86}" type="parTrans" cxnId="{D2B707AE-D8FF-4F8E-AD3E-72CD4E59D8D4}">
      <dgm:prSet/>
      <dgm:spPr/>
      <dgm:t>
        <a:bodyPr/>
        <a:lstStyle/>
        <a:p>
          <a:endParaRPr lang="en-GB" sz="1800"/>
        </a:p>
      </dgm:t>
    </dgm:pt>
    <dgm:pt modelId="{9C286111-9C20-43A6-8A7C-D1A1B4CFDEA4}" type="sibTrans" cxnId="{D2B707AE-D8FF-4F8E-AD3E-72CD4E59D8D4}">
      <dgm:prSet/>
      <dgm:spPr/>
      <dgm:t>
        <a:bodyPr/>
        <a:lstStyle/>
        <a:p>
          <a:endParaRPr lang="en-GB" sz="1800"/>
        </a:p>
      </dgm:t>
    </dgm:pt>
    <dgm:pt modelId="{17FDB521-B1CF-4C3C-9E19-D0F9D95DDCA4}">
      <dgm:prSet phldrT="[Texte]" custT="1"/>
      <dgm:spPr/>
      <dgm:t>
        <a:bodyPr/>
        <a:lstStyle/>
        <a:p>
          <a:r>
            <a:rPr lang="en-GB" sz="1400"/>
            <a:t>Step 2: Quality screening</a:t>
          </a:r>
        </a:p>
      </dgm:t>
    </dgm:pt>
    <dgm:pt modelId="{922CC8E7-58FC-4CD3-A598-F1A9333FED28}" type="parTrans" cxnId="{9E3198F5-ABF5-48E6-BCA5-9D0B42BFDBC5}">
      <dgm:prSet/>
      <dgm:spPr/>
      <dgm:t>
        <a:bodyPr/>
        <a:lstStyle/>
        <a:p>
          <a:endParaRPr lang="en-GB" sz="1800"/>
        </a:p>
      </dgm:t>
    </dgm:pt>
    <dgm:pt modelId="{3EA6F65D-A238-468E-8703-1C6A03573B1F}" type="sibTrans" cxnId="{9E3198F5-ABF5-48E6-BCA5-9D0B42BFDBC5}">
      <dgm:prSet/>
      <dgm:spPr/>
      <dgm:t>
        <a:bodyPr/>
        <a:lstStyle/>
        <a:p>
          <a:endParaRPr lang="en-GB" sz="1800"/>
        </a:p>
      </dgm:t>
    </dgm:pt>
    <dgm:pt modelId="{F6894962-E542-459C-AACB-1F153149A3B4}">
      <dgm:prSet phldrT="[Texte]" custT="1"/>
      <dgm:spPr/>
      <dgm:t>
        <a:bodyPr/>
        <a:lstStyle/>
        <a:p>
          <a:r>
            <a:rPr lang="en-GB" sz="1400">
              <a:solidFill>
                <a:schemeClr val="bg1"/>
              </a:solidFill>
            </a:rPr>
            <a:t>Step 3: Comparative analysis and ranking of the  sources</a:t>
          </a:r>
        </a:p>
      </dgm:t>
    </dgm:pt>
    <dgm:pt modelId="{5CAEED3E-7992-402B-8966-55943254AB25}" type="parTrans" cxnId="{5AF91615-F14D-4706-B96C-1DF63E855573}">
      <dgm:prSet/>
      <dgm:spPr/>
      <dgm:t>
        <a:bodyPr/>
        <a:lstStyle/>
        <a:p>
          <a:endParaRPr lang="en-GB" sz="1800"/>
        </a:p>
      </dgm:t>
    </dgm:pt>
    <dgm:pt modelId="{8BB7FFBF-0809-40F4-BA88-659250F88895}" type="sibTrans" cxnId="{5AF91615-F14D-4706-B96C-1DF63E855573}">
      <dgm:prSet/>
      <dgm:spPr/>
      <dgm:t>
        <a:bodyPr/>
        <a:lstStyle/>
        <a:p>
          <a:endParaRPr lang="en-GB" sz="1800"/>
        </a:p>
      </dgm:t>
    </dgm:pt>
    <dgm:pt modelId="{223B4D33-40A0-475C-B5C8-DB4578F225D8}" type="pres">
      <dgm:prSet presAssocID="{9F1157B0-13E1-46EC-81E2-473620D964AE}" presName="Name0" presStyleCnt="0">
        <dgm:presLayoutVars>
          <dgm:dir/>
          <dgm:animLvl val="lvl"/>
          <dgm:resizeHandles val="exact"/>
        </dgm:presLayoutVars>
      </dgm:prSet>
      <dgm:spPr/>
    </dgm:pt>
    <dgm:pt modelId="{2E4B1BC9-943C-4FBC-9D49-486B6FBEA89B}" type="pres">
      <dgm:prSet presAssocID="{D129AE44-ED87-4E4E-94D7-1BF55B7F6A4C}" presName="parTxOnly" presStyleLbl="node1" presStyleIdx="0" presStyleCnt="3" custScaleX="165079" custLinFactNeighborX="745" custLinFactNeighborY="6051">
        <dgm:presLayoutVars>
          <dgm:chMax val="0"/>
          <dgm:chPref val="0"/>
          <dgm:bulletEnabled val="1"/>
        </dgm:presLayoutVars>
      </dgm:prSet>
      <dgm:spPr/>
    </dgm:pt>
    <dgm:pt modelId="{956E530D-951E-4786-B37B-07E31CF562AA}" type="pres">
      <dgm:prSet presAssocID="{9C286111-9C20-43A6-8A7C-D1A1B4CFDEA4}" presName="parTxOnlySpace" presStyleCnt="0"/>
      <dgm:spPr/>
    </dgm:pt>
    <dgm:pt modelId="{48F860AC-82D6-4DE3-A026-EFA38B851CA4}" type="pres">
      <dgm:prSet presAssocID="{17FDB521-B1CF-4C3C-9E19-D0F9D95DDCA4}" presName="parTxOnly" presStyleLbl="node1" presStyleIdx="1" presStyleCnt="3" custScaleX="58240" custLinFactNeighborX="-62300">
        <dgm:presLayoutVars>
          <dgm:chMax val="0"/>
          <dgm:chPref val="0"/>
          <dgm:bulletEnabled val="1"/>
        </dgm:presLayoutVars>
      </dgm:prSet>
      <dgm:spPr/>
    </dgm:pt>
    <dgm:pt modelId="{DBB10B0B-8387-4C03-9F54-32FEAFE15443}" type="pres">
      <dgm:prSet presAssocID="{3EA6F65D-A238-468E-8703-1C6A03573B1F}" presName="parTxOnlySpace" presStyleCnt="0"/>
      <dgm:spPr/>
    </dgm:pt>
    <dgm:pt modelId="{273E072A-BBA7-4394-ACD1-E24478FA8FB4}" type="pres">
      <dgm:prSet presAssocID="{F6894962-E542-459C-AACB-1F153149A3B4}" presName="parTxOnly" presStyleLbl="node1" presStyleIdx="2" presStyleCnt="3" custScaleX="77364" custLinFactNeighborX="-96">
        <dgm:presLayoutVars>
          <dgm:chMax val="0"/>
          <dgm:chPref val="0"/>
          <dgm:bulletEnabled val="1"/>
        </dgm:presLayoutVars>
      </dgm:prSet>
      <dgm:spPr/>
    </dgm:pt>
  </dgm:ptLst>
  <dgm:cxnLst>
    <dgm:cxn modelId="{5AF91615-F14D-4706-B96C-1DF63E855573}" srcId="{9F1157B0-13E1-46EC-81E2-473620D964AE}" destId="{F6894962-E542-459C-AACB-1F153149A3B4}" srcOrd="2" destOrd="0" parTransId="{5CAEED3E-7992-402B-8966-55943254AB25}" sibTransId="{8BB7FFBF-0809-40F4-BA88-659250F88895}"/>
    <dgm:cxn modelId="{5EE9BD38-DB3F-43BD-9F73-25196749737D}" type="presOf" srcId="{F6894962-E542-459C-AACB-1F153149A3B4}" destId="{273E072A-BBA7-4394-ACD1-E24478FA8FB4}" srcOrd="0" destOrd="0" presId="urn:microsoft.com/office/officeart/2005/8/layout/chevron1"/>
    <dgm:cxn modelId="{7D194078-9C0C-40CC-A4F7-542490BFD7D7}" type="presOf" srcId="{17FDB521-B1CF-4C3C-9E19-D0F9D95DDCA4}" destId="{48F860AC-82D6-4DE3-A026-EFA38B851CA4}" srcOrd="0" destOrd="0" presId="urn:microsoft.com/office/officeart/2005/8/layout/chevron1"/>
    <dgm:cxn modelId="{4CB01F7F-5A6E-4256-ADE8-FF4BD68CDD90}" type="presOf" srcId="{9F1157B0-13E1-46EC-81E2-473620D964AE}" destId="{223B4D33-40A0-475C-B5C8-DB4578F225D8}" srcOrd="0" destOrd="0" presId="urn:microsoft.com/office/officeart/2005/8/layout/chevron1"/>
    <dgm:cxn modelId="{48314DAC-1CEC-4BFE-B4E7-697C4E55818B}" type="presOf" srcId="{D129AE44-ED87-4E4E-94D7-1BF55B7F6A4C}" destId="{2E4B1BC9-943C-4FBC-9D49-486B6FBEA89B}" srcOrd="0" destOrd="0" presId="urn:microsoft.com/office/officeart/2005/8/layout/chevron1"/>
    <dgm:cxn modelId="{D2B707AE-D8FF-4F8E-AD3E-72CD4E59D8D4}" srcId="{9F1157B0-13E1-46EC-81E2-473620D964AE}" destId="{D129AE44-ED87-4E4E-94D7-1BF55B7F6A4C}" srcOrd="0" destOrd="0" parTransId="{FB6A7C72-AB67-40A6-B7D7-336BF920DE86}" sibTransId="{9C286111-9C20-43A6-8A7C-D1A1B4CFDEA4}"/>
    <dgm:cxn modelId="{9E3198F5-ABF5-48E6-BCA5-9D0B42BFDBC5}" srcId="{9F1157B0-13E1-46EC-81E2-473620D964AE}" destId="{17FDB521-B1CF-4C3C-9E19-D0F9D95DDCA4}" srcOrd="1" destOrd="0" parTransId="{922CC8E7-58FC-4CD3-A598-F1A9333FED28}" sibTransId="{3EA6F65D-A238-468E-8703-1C6A03573B1F}"/>
    <dgm:cxn modelId="{451C7F9A-417A-4FA3-959F-ADFEA8DE2DEA}" type="presParOf" srcId="{223B4D33-40A0-475C-B5C8-DB4578F225D8}" destId="{2E4B1BC9-943C-4FBC-9D49-486B6FBEA89B}" srcOrd="0" destOrd="0" presId="urn:microsoft.com/office/officeart/2005/8/layout/chevron1"/>
    <dgm:cxn modelId="{A0CE3F44-B5A5-4F44-9849-128E77F8FE0F}" type="presParOf" srcId="{223B4D33-40A0-475C-B5C8-DB4578F225D8}" destId="{956E530D-951E-4786-B37B-07E31CF562AA}" srcOrd="1" destOrd="0" presId="urn:microsoft.com/office/officeart/2005/8/layout/chevron1"/>
    <dgm:cxn modelId="{1F51D1FF-24B8-4B6E-8342-DBF4A86AA104}" type="presParOf" srcId="{223B4D33-40A0-475C-B5C8-DB4578F225D8}" destId="{48F860AC-82D6-4DE3-A026-EFA38B851CA4}" srcOrd="2" destOrd="0" presId="urn:microsoft.com/office/officeart/2005/8/layout/chevron1"/>
    <dgm:cxn modelId="{85F7E8A4-7EB5-4C98-9A85-B1F8347E0E5E}" type="presParOf" srcId="{223B4D33-40A0-475C-B5C8-DB4578F225D8}" destId="{DBB10B0B-8387-4C03-9F54-32FEAFE15443}" srcOrd="3" destOrd="0" presId="urn:microsoft.com/office/officeart/2005/8/layout/chevron1"/>
    <dgm:cxn modelId="{541D5087-D729-441C-833D-5BA99BDED15E}" type="presParOf" srcId="{223B4D33-40A0-475C-B5C8-DB4578F225D8}" destId="{273E072A-BBA7-4394-ACD1-E24478FA8FB4}" srcOrd="4" destOrd="0" presId="urn:microsoft.com/office/officeart/2005/8/layout/chevro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E4B1BC9-943C-4FBC-9D49-486B6FBEA89B}">
      <dsp:nvSpPr>
        <dsp:cNvPr id="0" name=""/>
        <dsp:cNvSpPr/>
      </dsp:nvSpPr>
      <dsp:spPr>
        <a:xfrm>
          <a:off x="16950" y="0"/>
          <a:ext cx="13882131" cy="436699"/>
        </a:xfrm>
        <a:prstGeom prst="chevron">
          <a:avLst/>
        </a:prstGeom>
        <a:solidFill>
          <a:schemeClr val="accent1">
            <a:shade val="80000"/>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GB" sz="1400" kern="1200"/>
            <a:t>Step 1: Selection and description of the sources </a:t>
          </a:r>
        </a:p>
      </dsp:txBody>
      <dsp:txXfrm>
        <a:off x="235300" y="0"/>
        <a:ext cx="13445432" cy="436699"/>
      </dsp:txXfrm>
    </dsp:sp>
    <dsp:sp modelId="{48F860AC-82D6-4DE3-A026-EFA38B851CA4}">
      <dsp:nvSpPr>
        <dsp:cNvPr id="0" name=""/>
        <dsp:cNvSpPr/>
      </dsp:nvSpPr>
      <dsp:spPr>
        <a:xfrm>
          <a:off x="10557322" y="0"/>
          <a:ext cx="5834292" cy="436699"/>
        </a:xfrm>
        <a:prstGeom prst="chevron">
          <a:avLst/>
        </a:prstGeom>
        <a:solidFill>
          <a:schemeClr val="accent1">
            <a:shade val="80000"/>
            <a:hueOff val="272799"/>
            <a:satOff val="-28446"/>
            <a:lumOff val="1911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GB" sz="1400" kern="1200"/>
            <a:t>Step 2: Quality screening</a:t>
          </a:r>
        </a:p>
      </dsp:txBody>
      <dsp:txXfrm>
        <a:off x="10775672" y="0"/>
        <a:ext cx="5397593" cy="436699"/>
      </dsp:txXfrm>
    </dsp:sp>
    <dsp:sp modelId="{273E072A-BBA7-4394-ACD1-E24478FA8FB4}">
      <dsp:nvSpPr>
        <dsp:cNvPr id="0" name=""/>
        <dsp:cNvSpPr/>
      </dsp:nvSpPr>
      <dsp:spPr>
        <a:xfrm>
          <a:off x="15856238" y="0"/>
          <a:ext cx="4872081" cy="436699"/>
        </a:xfrm>
        <a:prstGeom prst="chevron">
          <a:avLst/>
        </a:prstGeom>
        <a:solidFill>
          <a:schemeClr val="accent1">
            <a:shade val="80000"/>
            <a:hueOff val="545598"/>
            <a:satOff val="-56892"/>
            <a:lumOff val="38221"/>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GB" sz="1400" kern="1200">
              <a:solidFill>
                <a:schemeClr val="bg1"/>
              </a:solidFill>
            </a:rPr>
            <a:t>Step 3: Comparative analysis and ranking of the  sources</a:t>
          </a:r>
        </a:p>
      </dsp:txBody>
      <dsp:txXfrm>
        <a:off x="16074588" y="0"/>
        <a:ext cx="4435382" cy="436699"/>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E4B1BC9-943C-4FBC-9D49-486B6FBEA89B}">
      <dsp:nvSpPr>
        <dsp:cNvPr id="0" name=""/>
        <dsp:cNvSpPr/>
      </dsp:nvSpPr>
      <dsp:spPr>
        <a:xfrm>
          <a:off x="0" y="0"/>
          <a:ext cx="12771246" cy="406305"/>
        </a:xfrm>
        <a:prstGeom prst="chevron">
          <a:avLst/>
        </a:prstGeom>
        <a:solidFill>
          <a:schemeClr val="accent1">
            <a:shade val="80000"/>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GB" sz="1400" kern="1200"/>
            <a:t>Step 1: Selection and description of the sources </a:t>
          </a:r>
        </a:p>
      </dsp:txBody>
      <dsp:txXfrm>
        <a:off x="203153" y="0"/>
        <a:ext cx="12364941" cy="406305"/>
      </dsp:txXfrm>
    </dsp:sp>
    <dsp:sp modelId="{48F860AC-82D6-4DE3-A026-EFA38B851CA4}">
      <dsp:nvSpPr>
        <dsp:cNvPr id="0" name=""/>
        <dsp:cNvSpPr/>
      </dsp:nvSpPr>
      <dsp:spPr>
        <a:xfrm>
          <a:off x="9976482" y="0"/>
          <a:ext cx="4737849" cy="406305"/>
        </a:xfrm>
        <a:prstGeom prst="chevron">
          <a:avLst/>
        </a:prstGeom>
        <a:solidFill>
          <a:schemeClr val="accent1">
            <a:shade val="80000"/>
            <a:hueOff val="272799"/>
            <a:satOff val="-28446"/>
            <a:lumOff val="1911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GB" sz="1400" kern="1200"/>
            <a:t>Step 2: Quality screening</a:t>
          </a:r>
        </a:p>
      </dsp:txBody>
      <dsp:txXfrm>
        <a:off x="10179635" y="0"/>
        <a:ext cx="4331544" cy="406305"/>
      </dsp:txXfrm>
    </dsp:sp>
    <dsp:sp modelId="{273E072A-BBA7-4394-ACD1-E24478FA8FB4}">
      <dsp:nvSpPr>
        <dsp:cNvPr id="0" name=""/>
        <dsp:cNvSpPr/>
      </dsp:nvSpPr>
      <dsp:spPr>
        <a:xfrm>
          <a:off x="14507700" y="0"/>
          <a:ext cx="4381214" cy="406305"/>
        </a:xfrm>
        <a:prstGeom prst="chevron">
          <a:avLst/>
        </a:prstGeom>
        <a:solidFill>
          <a:schemeClr val="accent1">
            <a:shade val="80000"/>
            <a:hueOff val="545598"/>
            <a:satOff val="-56892"/>
            <a:lumOff val="38221"/>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GB" sz="1400" kern="1200">
              <a:solidFill>
                <a:schemeClr val="bg1"/>
              </a:solidFill>
            </a:rPr>
            <a:t>Step 3: Comparative analysis and ranking of the  sources</a:t>
          </a:r>
        </a:p>
      </dsp:txBody>
      <dsp:txXfrm>
        <a:off x="14710853" y="0"/>
        <a:ext cx="3974909" cy="406305"/>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E4B1BC9-943C-4FBC-9D49-486B6FBEA89B}">
      <dsp:nvSpPr>
        <dsp:cNvPr id="0" name=""/>
        <dsp:cNvSpPr/>
      </dsp:nvSpPr>
      <dsp:spPr>
        <a:xfrm>
          <a:off x="13114" y="0"/>
          <a:ext cx="12146956" cy="393496"/>
        </a:xfrm>
        <a:prstGeom prst="chevron">
          <a:avLst/>
        </a:prstGeom>
        <a:solidFill>
          <a:schemeClr val="accent1">
            <a:shade val="80000"/>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GB" sz="1400" kern="1200"/>
            <a:t>Step 1: Selection and description of the sources </a:t>
          </a:r>
        </a:p>
      </dsp:txBody>
      <dsp:txXfrm>
        <a:off x="209862" y="0"/>
        <a:ext cx="11753460" cy="393496"/>
      </dsp:txXfrm>
    </dsp:sp>
    <dsp:sp modelId="{48F860AC-82D6-4DE3-A026-EFA38B851CA4}">
      <dsp:nvSpPr>
        <dsp:cNvPr id="0" name=""/>
        <dsp:cNvSpPr/>
      </dsp:nvSpPr>
      <dsp:spPr>
        <a:xfrm>
          <a:off x="9720443" y="0"/>
          <a:ext cx="4808422" cy="393496"/>
        </a:xfrm>
        <a:prstGeom prst="chevron">
          <a:avLst/>
        </a:prstGeom>
        <a:solidFill>
          <a:schemeClr val="accent1">
            <a:shade val="80000"/>
            <a:hueOff val="272799"/>
            <a:satOff val="-28446"/>
            <a:lumOff val="1911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GB" sz="1400" kern="1200"/>
            <a:t>Step 2: Quality screening</a:t>
          </a:r>
        </a:p>
      </dsp:txBody>
      <dsp:txXfrm>
        <a:off x="9917191" y="0"/>
        <a:ext cx="4414926" cy="393496"/>
      </dsp:txXfrm>
    </dsp:sp>
    <dsp:sp modelId="{273E072A-BBA7-4394-ACD1-E24478FA8FB4}">
      <dsp:nvSpPr>
        <dsp:cNvPr id="0" name=""/>
        <dsp:cNvSpPr/>
      </dsp:nvSpPr>
      <dsp:spPr>
        <a:xfrm>
          <a:off x="14212497" y="0"/>
          <a:ext cx="4394695" cy="393496"/>
        </a:xfrm>
        <a:prstGeom prst="chevron">
          <a:avLst/>
        </a:prstGeom>
        <a:solidFill>
          <a:schemeClr val="accent1">
            <a:shade val="80000"/>
            <a:hueOff val="545598"/>
            <a:satOff val="-56892"/>
            <a:lumOff val="38221"/>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GB" sz="1400" kern="1200">
              <a:solidFill>
                <a:schemeClr val="bg1"/>
              </a:solidFill>
            </a:rPr>
            <a:t>Step 3: Comparative analysis and ranking of the  sources</a:t>
          </a:r>
        </a:p>
      </dsp:txBody>
      <dsp:txXfrm>
        <a:off x="14409245" y="0"/>
        <a:ext cx="4001199" cy="393496"/>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E4B1BC9-943C-4FBC-9D49-486B6FBEA89B}">
      <dsp:nvSpPr>
        <dsp:cNvPr id="0" name=""/>
        <dsp:cNvSpPr/>
      </dsp:nvSpPr>
      <dsp:spPr>
        <a:xfrm>
          <a:off x="12363" y="0"/>
          <a:ext cx="10235574" cy="470966"/>
        </a:xfrm>
        <a:prstGeom prst="chevron">
          <a:avLst/>
        </a:prstGeom>
        <a:solidFill>
          <a:schemeClr val="accent1">
            <a:shade val="80000"/>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GB" sz="1400" kern="1200"/>
            <a:t>Step 1: Selection and description of the sources </a:t>
          </a:r>
        </a:p>
      </dsp:txBody>
      <dsp:txXfrm>
        <a:off x="247846" y="0"/>
        <a:ext cx="9764608" cy="470966"/>
      </dsp:txXfrm>
    </dsp:sp>
    <dsp:sp modelId="{48F860AC-82D6-4DE3-A026-EFA38B851CA4}">
      <dsp:nvSpPr>
        <dsp:cNvPr id="0" name=""/>
        <dsp:cNvSpPr/>
      </dsp:nvSpPr>
      <dsp:spPr>
        <a:xfrm>
          <a:off x="9236991" y="0"/>
          <a:ext cx="3611118" cy="470966"/>
        </a:xfrm>
        <a:prstGeom prst="chevron">
          <a:avLst/>
        </a:prstGeom>
        <a:solidFill>
          <a:schemeClr val="accent1">
            <a:shade val="80000"/>
            <a:hueOff val="272799"/>
            <a:satOff val="-28446"/>
            <a:lumOff val="1911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GB" sz="1400" kern="1200"/>
            <a:t>Step 2: Quality screening</a:t>
          </a:r>
        </a:p>
      </dsp:txBody>
      <dsp:txXfrm>
        <a:off x="9472474" y="0"/>
        <a:ext cx="3140152" cy="470966"/>
      </dsp:txXfrm>
    </dsp:sp>
    <dsp:sp modelId="{273E072A-BBA7-4394-ACD1-E24478FA8FB4}">
      <dsp:nvSpPr>
        <dsp:cNvPr id="0" name=""/>
        <dsp:cNvSpPr/>
      </dsp:nvSpPr>
      <dsp:spPr>
        <a:xfrm>
          <a:off x="12613759" y="0"/>
          <a:ext cx="4796885" cy="470966"/>
        </a:xfrm>
        <a:prstGeom prst="chevron">
          <a:avLst/>
        </a:prstGeom>
        <a:solidFill>
          <a:schemeClr val="accent1">
            <a:shade val="80000"/>
            <a:hueOff val="545598"/>
            <a:satOff val="-56892"/>
            <a:lumOff val="38221"/>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GB" sz="1400" kern="1200">
              <a:solidFill>
                <a:schemeClr val="bg1"/>
              </a:solidFill>
            </a:rPr>
            <a:t>Step 3: Comparative analysis and ranking of the  sources</a:t>
          </a:r>
        </a:p>
      </dsp:txBody>
      <dsp:txXfrm>
        <a:off x="12849242" y="0"/>
        <a:ext cx="4325919" cy="470966"/>
      </dsp:txXfrm>
    </dsp:sp>
  </dsp:spTree>
</dsp:drawing>
</file>

<file path=xl/diagrams/layout1.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2.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3.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4.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chart" Target="../charts/chart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7" Type="http://schemas.openxmlformats.org/officeDocument/2006/relationships/chart" Target="../charts/chart3.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chart" Target="../charts/chart2.xml"/><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3.xml"/><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chart" Target="../charts/chart4.xml"/><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4.xml"/><Relationship Id="rId2" Type="http://schemas.openxmlformats.org/officeDocument/2006/relationships/diagramLayout" Target="../diagrams/layout4.xml"/><Relationship Id="rId1" Type="http://schemas.openxmlformats.org/officeDocument/2006/relationships/diagramData" Target="../diagrams/data4.xml"/><Relationship Id="rId6" Type="http://schemas.openxmlformats.org/officeDocument/2006/relationships/chart" Target="../charts/chart5.xml"/><Relationship Id="rId5" Type="http://schemas.microsoft.com/office/2007/relationships/diagramDrawing" Target="../diagrams/drawing4.xml"/><Relationship Id="rId4" Type="http://schemas.openxmlformats.org/officeDocument/2006/relationships/diagramColors" Target="../diagrams/colors4.xml"/></Relationships>
</file>

<file path=xl/drawings/drawing1.xml><?xml version="1.0" encoding="utf-8"?>
<xdr:wsDr xmlns:xdr="http://schemas.openxmlformats.org/drawingml/2006/spreadsheetDrawing" xmlns:a="http://schemas.openxmlformats.org/drawingml/2006/main">
  <xdr:twoCellAnchor editAs="oneCell">
    <xdr:from>
      <xdr:col>1</xdr:col>
      <xdr:colOff>47354</xdr:colOff>
      <xdr:row>2</xdr:row>
      <xdr:rowOff>170659</xdr:rowOff>
    </xdr:from>
    <xdr:to>
      <xdr:col>2</xdr:col>
      <xdr:colOff>619125</xdr:colOff>
      <xdr:row>6</xdr:row>
      <xdr:rowOff>129810</xdr:rowOff>
    </xdr:to>
    <xdr:pic>
      <xdr:nvPicPr>
        <xdr:cNvPr id="2" name="Image 1" descr="Artelys">
          <a:extLst>
            <a:ext uri="{FF2B5EF4-FFF2-40B4-BE49-F238E27FC236}">
              <a16:creationId xmlns:a16="http://schemas.microsoft.com/office/drawing/2014/main" id="{B3D52CF2-1F48-46B3-B351-02C346611A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6954" y="551659"/>
          <a:ext cx="1781446" cy="683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1</xdr:row>
      <xdr:rowOff>41189</xdr:rowOff>
    </xdr:from>
    <xdr:to>
      <xdr:col>22</xdr:col>
      <xdr:colOff>22412</xdr:colOff>
      <xdr:row>1</xdr:row>
      <xdr:rowOff>477888</xdr:rowOff>
    </xdr:to>
    <xdr:graphicFrame macro="">
      <xdr:nvGraphicFramePr>
        <xdr:cNvPr id="3" name="Diagramme 85">
          <a:extLst>
            <a:ext uri="{FF2B5EF4-FFF2-40B4-BE49-F238E27FC236}">
              <a16:creationId xmlns:a16="http://schemas.microsoft.com/office/drawing/2014/main" id="{2A08F740-76A0-48A3-9E27-19B3674B338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6</xdr:col>
      <xdr:colOff>36911</xdr:colOff>
      <xdr:row>28</xdr:row>
      <xdr:rowOff>90010</xdr:rowOff>
    </xdr:from>
    <xdr:to>
      <xdr:col>19</xdr:col>
      <xdr:colOff>754482</xdr:colOff>
      <xdr:row>64</xdr:row>
      <xdr:rowOff>159446</xdr:rowOff>
    </xdr:to>
    <xdr:graphicFrame macro="">
      <xdr:nvGraphicFramePr>
        <xdr:cNvPr id="11" name="Graphique 3">
          <a:extLst>
            <a:ext uri="{FF2B5EF4-FFF2-40B4-BE49-F238E27FC236}">
              <a16:creationId xmlns:a16="http://schemas.microsoft.com/office/drawing/2014/main" id="{EFCDD6AD-E780-2B80-BB1E-2936C818BA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16647</xdr:colOff>
      <xdr:row>1</xdr:row>
      <xdr:rowOff>28987</xdr:rowOff>
    </xdr:from>
    <xdr:to>
      <xdr:col>22</xdr:col>
      <xdr:colOff>1042147</xdr:colOff>
      <xdr:row>1</xdr:row>
      <xdr:rowOff>435292</xdr:rowOff>
    </xdr:to>
    <xdr:graphicFrame macro="">
      <xdr:nvGraphicFramePr>
        <xdr:cNvPr id="2" name="Diagramme 85">
          <a:extLst>
            <a:ext uri="{FF2B5EF4-FFF2-40B4-BE49-F238E27FC236}">
              <a16:creationId xmlns:a16="http://schemas.microsoft.com/office/drawing/2014/main" id="{D9FDC915-4974-4364-BFA6-451CA55BE23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6</xdr:col>
      <xdr:colOff>249887</xdr:colOff>
      <xdr:row>53</xdr:row>
      <xdr:rowOff>20013</xdr:rowOff>
    </xdr:from>
    <xdr:to>
      <xdr:col>16</xdr:col>
      <xdr:colOff>313766</xdr:colOff>
      <xdr:row>100</xdr:row>
      <xdr:rowOff>16204</xdr:rowOff>
    </xdr:to>
    <xdr:graphicFrame macro="">
      <xdr:nvGraphicFramePr>
        <xdr:cNvPr id="46" name="Graphique 2">
          <a:extLst>
            <a:ext uri="{FF2B5EF4-FFF2-40B4-BE49-F238E27FC236}">
              <a16:creationId xmlns:a16="http://schemas.microsoft.com/office/drawing/2014/main" id="{CF75B64C-7255-4683-9FE9-E28E8DDC43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324325</xdr:colOff>
      <xdr:row>52</xdr:row>
      <xdr:rowOff>174664</xdr:rowOff>
    </xdr:from>
    <xdr:to>
      <xdr:col>23</xdr:col>
      <xdr:colOff>616324</xdr:colOff>
      <xdr:row>100</xdr:row>
      <xdr:rowOff>18602</xdr:rowOff>
    </xdr:to>
    <xdr:graphicFrame macro="">
      <xdr:nvGraphicFramePr>
        <xdr:cNvPr id="5" name="Graphique 4">
          <a:extLst>
            <a:ext uri="{FF2B5EF4-FFF2-40B4-BE49-F238E27FC236}">
              <a16:creationId xmlns:a16="http://schemas.microsoft.com/office/drawing/2014/main" id="{7488F467-60E4-4CCF-AA26-5EAFB9032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124142</xdr:rowOff>
    </xdr:from>
    <xdr:to>
      <xdr:col>23</xdr:col>
      <xdr:colOff>780602</xdr:colOff>
      <xdr:row>1</xdr:row>
      <xdr:rowOff>517638</xdr:rowOff>
    </xdr:to>
    <xdr:graphicFrame macro="">
      <xdr:nvGraphicFramePr>
        <xdr:cNvPr id="5" name="Diagramme 85">
          <a:extLst>
            <a:ext uri="{FF2B5EF4-FFF2-40B4-BE49-F238E27FC236}">
              <a16:creationId xmlns:a16="http://schemas.microsoft.com/office/drawing/2014/main" id="{16D3F620-2E7F-4281-BE08-9AA2BC15896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8</xdr:col>
      <xdr:colOff>95940</xdr:colOff>
      <xdr:row>41</xdr:row>
      <xdr:rowOff>58867</xdr:rowOff>
    </xdr:from>
    <xdr:to>
      <xdr:col>22</xdr:col>
      <xdr:colOff>441314</xdr:colOff>
      <xdr:row>75</xdr:row>
      <xdr:rowOff>93865</xdr:rowOff>
    </xdr:to>
    <xdr:graphicFrame macro="">
      <xdr:nvGraphicFramePr>
        <xdr:cNvPr id="7" name="Graphique 6">
          <a:extLst>
            <a:ext uri="{FF2B5EF4-FFF2-40B4-BE49-F238E27FC236}">
              <a16:creationId xmlns:a16="http://schemas.microsoft.com/office/drawing/2014/main" id="{6790881D-1A6D-FE3F-DB41-164DE79349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1</xdr:row>
      <xdr:rowOff>97367</xdr:rowOff>
    </xdr:from>
    <xdr:to>
      <xdr:col>20</xdr:col>
      <xdr:colOff>874060</xdr:colOff>
      <xdr:row>1</xdr:row>
      <xdr:rowOff>577858</xdr:rowOff>
    </xdr:to>
    <xdr:graphicFrame macro="">
      <xdr:nvGraphicFramePr>
        <xdr:cNvPr id="2" name="Diagramme 85">
          <a:extLst>
            <a:ext uri="{FF2B5EF4-FFF2-40B4-BE49-F238E27FC236}">
              <a16:creationId xmlns:a16="http://schemas.microsoft.com/office/drawing/2014/main" id="{0293E6FF-ED14-4640-8B97-44B1D617061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6</xdr:col>
      <xdr:colOff>85725</xdr:colOff>
      <xdr:row>36</xdr:row>
      <xdr:rowOff>93344</xdr:rowOff>
    </xdr:from>
    <xdr:to>
      <xdr:col>21</xdr:col>
      <xdr:colOff>864900</xdr:colOff>
      <xdr:row>92</xdr:row>
      <xdr:rowOff>48259</xdr:rowOff>
    </xdr:to>
    <xdr:graphicFrame macro="">
      <xdr:nvGraphicFramePr>
        <xdr:cNvPr id="3" name="Graphique 2">
          <a:extLst>
            <a:ext uri="{FF2B5EF4-FFF2-40B4-BE49-F238E27FC236}">
              <a16:creationId xmlns:a16="http://schemas.microsoft.com/office/drawing/2014/main" id="{5BA2EFA9-684C-414F-8754-756D301112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briere" refreshedDate="45853.755907870371" createdVersion="8" refreshedVersion="8" minRefreshableVersion="3" recordCount="36" xr:uid="{C9268357-1465-4522-AB5A-FC5D12508C60}">
  <cacheSource type="worksheet">
    <worksheetSource ref="A4:Y40" sheet="CAPEX H2 transmissions"/>
  </cacheSource>
  <cacheFields count="24">
    <cacheField name="Source - Entity" numFmtId="49">
      <sharedItems containsBlank="1"/>
    </cacheField>
    <cacheField name="Source - Short description_x000a_[displayed on the graph]" numFmtId="0">
      <sharedItems containsBlank="1"/>
    </cacheField>
    <cacheField name="Bound" numFmtId="0">
      <sharedItems containsBlank="1" count="4">
        <m/>
        <s v="Lower bound"/>
        <s v="Middle bound"/>
        <s v="Upper bound"/>
      </sharedItems>
    </cacheField>
    <cacheField name="Source - Entity (full)" numFmtId="0">
      <sharedItems count="7">
        <s v="TYNDP 2024"/>
        <s v="EHB"/>
        <s v="NSWPH"/>
        <s v="TNO"/>
        <s v="E-Bridge"/>
        <s v="Strategy&amp;"/>
        <s v="Transition Accelerator"/>
      </sharedItems>
    </cacheField>
    <cacheField name="Source - Short description (full)" numFmtId="0">
      <sharedItems count="18">
        <s v="Values provided directly in €/MW/km (p. 104)"/>
        <s v="Values provided in €/km for different pipeline sizes (p. 52 / units conversions: Artelys)"/>
        <s v="Values provided border by border (p. 107 / unit conversion &amp; average: Artelys)"/>
        <s v="EHB 2023: Implementation roadmap (mainly)"/>
        <s v="(Cited by DNV)"/>
        <s v="Assessment of connection concepts for Germany’s far out North Sea offshore wind areas"/>
        <s v="Report: HyWay 27: hydrogen transmission using the existing natural gas grid?"/>
        <s v=" Technical Brief, The Techno-Economics of Hydrogen Pipelines"/>
        <s v="Values provided in €/km for different pipeline sizes (page 104 / units conversions: Artelys)" u="1"/>
        <s v="Values provided border by border (unit conversion &amp; average: Artelys)" u="1"/>
        <s v="Artelys' calculation" u="1"/>
        <s v="Value page 104 (provided directly in €/MW/km)" u="1"/>
        <s v="Values page 52 (provided in €/km for different pipeline sizes - units conversions: Artelys)" u="1"/>
        <s v="Hydrogen grid costs for specific borders" u="1"/>
        <s v="Cited by DNV" u="1"/>
        <s v="Value page 104 (directly in €/MW/km)" u="1"/>
        <s v="Values page 52 (given in €/km for different pipeline sizes - units conversions carried out by Artelys)" u="1"/>
        <s v="TYNDP 2024 Methodology report" u="1"/>
      </sharedItems>
    </cacheField>
    <cacheField name="Graph - level 1" numFmtId="0">
      <sharedItems/>
    </cacheField>
    <cacheField name="Graph - level 2" numFmtId="0">
      <sharedItems/>
    </cacheField>
    <cacheField name="Value (€/MW/km)" numFmtId="0">
      <sharedItems containsSemiMixedTypes="0" containsString="0" containsNumber="1" minValue="3" maxValue="1833.6666666666667"/>
    </cacheField>
    <cacheField name="Further description of the source" numFmtId="0">
      <sharedItems containsBlank="1" longText="1"/>
    </cacheField>
    <cacheField name="Construction methodology" numFmtId="0">
      <sharedItems containsBlank="1" longText="1"/>
    </cacheField>
    <cacheField name="Link" numFmtId="0">
      <sharedItems containsBlank="1" longText="1"/>
    </cacheField>
    <cacheField name="Value (unit of origin)" numFmtId="0">
      <sharedItems/>
    </cacheField>
    <cacheField name="Onshore / Offshore" numFmtId="0">
      <sharedItems count="3">
        <s v="Not specified"/>
        <s v="Onshore"/>
        <s v="Offshore"/>
      </sharedItems>
    </cacheField>
    <cacheField name="Size of pipe" numFmtId="0">
      <sharedItems count="5">
        <s v="Not specified"/>
        <s v="S (20 inch)"/>
        <s v="M (36 inch)"/>
        <s v="L (48 inch)"/>
        <s v="50% L-pipes, 35% M-pipes and 15% S-pipes"/>
      </sharedItems>
    </cacheField>
    <cacheField name="New / Repurposed" numFmtId="0">
      <sharedItems count="3">
        <s v="Not specified"/>
        <s v="New"/>
        <s v="Repurposed"/>
      </sharedItems>
    </cacheField>
    <cacheField name="CAPEX of compressor included?" numFmtId="0">
      <sharedItems/>
    </cacheField>
    <cacheField name="Year of publication" numFmtId="0">
      <sharedItems containsSemiMixedTypes="0" containsString="0" containsNumber="1" containsInteger="1" minValue="2021" maxValue="2024"/>
    </cacheField>
    <cacheField name="Public source" numFmtId="0">
      <sharedItems/>
    </cacheField>
    <cacheField name="Initial source " numFmtId="0">
      <sharedItems/>
    </cacheField>
    <cacheField name="Credibility of the institution / risk of conflict of interest" numFmtId="0">
      <sharedItems containsSemiMixedTypes="0" containsString="0" containsNumber="1" containsInteger="1" minValue="3" maxValue="3"/>
    </cacheField>
    <cacheField name="Relevance to the considered context" numFmtId="0">
      <sharedItems containsSemiMixedTypes="0" containsString="0" containsNumber="1" containsInteger="1" minValue="0" maxValue="4"/>
    </cacheField>
    <cacheField name="Comments on the relevance" numFmtId="0">
      <sharedItems containsBlank="1"/>
    </cacheField>
    <cacheField name="Value within the range of reference" numFmtId="0">
      <sharedItems/>
    </cacheField>
    <cacheField name="Final grade (max 12)" numFmtId="0">
      <sharedItems containsSemiMixedTypes="0" containsString="0" containsNumber="1" containsInteger="1" minValue="0" maxValue="1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
  <r>
    <s v="TYNDP 2024"/>
    <s v="Values provided directly in €/MW/km (p. 104)"/>
    <x v="0"/>
    <x v="0"/>
    <x v="0"/>
    <s v="TYNDP 2024"/>
    <s v="Values provided directly in €/MW/km (p. 104) - size Not specified"/>
    <n v="529"/>
    <s v="Page 104 of the methodology report"/>
    <m/>
    <s v="https://2024.entsos-tyndp-scenarios.eu/wp-content/uploads/2024/07/TYNDP_2024_Scenarios_Methodology_Report_240708.pdf"/>
    <s v="528,57 €/MW/km"/>
    <x v="0"/>
    <x v="0"/>
    <x v="0"/>
    <s v="Not specified"/>
    <n v="2024"/>
    <s v="Yes"/>
    <s v="Yes"/>
    <n v="3"/>
    <n v="4"/>
    <m/>
    <s v="Yes"/>
    <n v="10"/>
  </r>
  <r>
    <m/>
    <s v="Values provided in €/km for different pipeline sizes (p. 52 / units conversions: Artelys)"/>
    <x v="0"/>
    <x v="0"/>
    <x v="1"/>
    <s v=""/>
    <s v="Values provided in €/km for different pipeline sizes (p. 52 / units conversions: Artelys) - for New - size S (20 inch)"/>
    <n v="1833.6666666666667"/>
    <s v="Page 52 of TYNDP 2024 Methodology report_x000a_Artelys' treatment: _x000a_Using the pipeline CAPEX (€/km), the compression requirements (MW/km) and the compression CAPEX (€/MW) as well as the capacity corresponding to the size of the pipe (1200 MW fop S pipes, 4040 MW for M pipes and 13000 MW for L pipes, according to the report)"/>
    <m/>
    <m/>
    <s v="1,5 M€/km"/>
    <x v="1"/>
    <x v="1"/>
    <x v="1"/>
    <s v="Yes: 3.4 M€/MW of compressor and 0.206 MW of compressor /km"/>
    <n v="2024"/>
    <s v="Yes"/>
    <s v="No"/>
    <n v="3"/>
    <n v="2"/>
    <s v="Pipeline size S"/>
    <s v="No"/>
    <n v="0"/>
  </r>
  <r>
    <m/>
    <m/>
    <x v="0"/>
    <x v="0"/>
    <x v="1"/>
    <s v=""/>
    <s v=" - for New - size M (36 inch)"/>
    <n v="721.28712871287132"/>
    <m/>
    <m/>
    <m/>
    <s v="2,2 M€/km"/>
    <x v="1"/>
    <x v="2"/>
    <x v="1"/>
    <s v="Yes: 3.4 M€/MW and  0.21 MW/km"/>
    <n v="2024"/>
    <s v="Yes"/>
    <s v="No"/>
    <n v="3"/>
    <n v="4"/>
    <m/>
    <s v="Yes"/>
    <n v="10"/>
  </r>
  <r>
    <m/>
    <m/>
    <x v="0"/>
    <x v="0"/>
    <x v="1"/>
    <s v=""/>
    <s v=" - for New - size L (48 inch)"/>
    <n v="270.30769230769232"/>
    <m/>
    <m/>
    <m/>
    <s v="2,8 M€/km"/>
    <x v="1"/>
    <x v="3"/>
    <x v="1"/>
    <s v="Yes: 3.4 M€/MW and  0.21 MW/km"/>
    <n v="2024"/>
    <s v="Yes"/>
    <s v="No"/>
    <n v="3"/>
    <n v="2"/>
    <s v="Pipeline size L"/>
    <s v="Yes"/>
    <n v="8"/>
  </r>
  <r>
    <m/>
    <m/>
    <x v="0"/>
    <x v="0"/>
    <x v="1"/>
    <s v=""/>
    <s v=" - for Repurposed - size S (20 inch)"/>
    <n v="833.66666666666663"/>
    <m/>
    <m/>
    <m/>
    <s v="0,3 M€/km"/>
    <x v="1"/>
    <x v="1"/>
    <x v="2"/>
    <s v="Yes: 3.4 M€/MW and  0.206 MW/km"/>
    <n v="2024"/>
    <s v="Yes"/>
    <s v="No"/>
    <n v="3"/>
    <n v="0"/>
    <s v="Repurposed"/>
    <s v="Yes"/>
    <n v="6"/>
  </r>
  <r>
    <m/>
    <m/>
    <x v="0"/>
    <x v="0"/>
    <x v="1"/>
    <s v=""/>
    <s v=" - for Repurposed - size M (36 inch)"/>
    <n v="275.7425742574257"/>
    <m/>
    <m/>
    <m/>
    <s v="0,4 M€/km"/>
    <x v="1"/>
    <x v="2"/>
    <x v="2"/>
    <s v="Yes: 3.4 M€/MW and  0.21 MW/km"/>
    <n v="2024"/>
    <s v="Yes"/>
    <s v="No"/>
    <n v="3"/>
    <n v="0"/>
    <s v="Repurposed"/>
    <s v="Yes"/>
    <n v="6"/>
  </r>
  <r>
    <m/>
    <m/>
    <x v="0"/>
    <x v="0"/>
    <x v="1"/>
    <s v=""/>
    <s v=" - for Repurposed - size L (48 inch)"/>
    <n v="93.384615384615387"/>
    <m/>
    <m/>
    <m/>
    <s v="0,5 M€/km"/>
    <x v="1"/>
    <x v="3"/>
    <x v="2"/>
    <s v="Yes: 3.4 M€/MW and  0.21 MW/km"/>
    <n v="2024"/>
    <s v="Yes"/>
    <s v="No"/>
    <n v="3"/>
    <n v="0"/>
    <s v="Repurposed"/>
    <s v="Yes"/>
    <n v="6"/>
  </r>
  <r>
    <m/>
    <s v="Values provided border by border (p. 107 / unit conversion &amp; average: Artelys)"/>
    <x v="0"/>
    <x v="0"/>
    <x v="2"/>
    <s v=""/>
    <s v="Values provided border by border (p. 107 / unit conversion &amp; average: Artelys) - size M (36 inch)"/>
    <n v="326"/>
    <s v="Table A07 of TYNDP 2024 Methodology Report: Hydrogen pipeline investment candidates, p.107_x000a_Artelys' treatment: Average CAPEX (€/MW/km) found by dividing the total cost of projects by (total distance (30% of distance between capital cities for each pipe) * total capacity (maximum of indirect and direct capacity))"/>
    <m/>
    <m/>
    <s v="326 €/MW/km"/>
    <x v="1"/>
    <x v="2"/>
    <x v="0"/>
    <s v="Not specified"/>
    <n v="2024"/>
    <s v="Yes"/>
    <s v="Yes"/>
    <n v="3"/>
    <n v="1"/>
    <s v="The way the distance of the pipelines is estimated by Artelys in order to obtain costs per km of pipeline is very approximate"/>
    <s v="Yes"/>
    <n v="7"/>
  </r>
  <r>
    <s v="EHB"/>
    <s v="EHB 2023: Implementation roadmap (mainly)"/>
    <x v="0"/>
    <x v="1"/>
    <x v="3"/>
    <s v="EHB"/>
    <s v="EHB 2023: Implementation roadmap (mainly) - for New - size S (20 inch)"/>
    <n v="1521.6666666666667"/>
    <s v="Main source: EHB 2023: Implementation roadmap - cross border projects and costs update,2023_x000a_- CAPEX of pipelines (€/km)_x000a__x000a_As complementary sources, Artelys has also used:_x000a_&quot;EHB 2021: A EUROPEAN HYDROGEN INFRASTRUCTURE VISION COVERING 21 COUNTRIES, 2021&quot; for the capacity of the different sizes of pipelines:_x000a_- Pipe S has a capacity of 1200 MW_H2 (LHV), _x000a_- Pipe M has a capacity of 4700 MW_H2 if new, 3600 MW_H2 if repurposed._x000a_- Pipe L has a capacity of 13000 MW_H2 _x000a__x000a_EHB 2024:  Implementation Roadmap: Public support as catalyst for hydrogen infrastructure, 2024 for the assumptions on CAPEX of compressors (€/km)"/>
    <m/>
    <s v="1. EHB 2023: https://ehb.eu/files/downloads/EHB-2023-Implementation-Roadmap-Part-1.pdf_x000a_2. EHB 2021: https://ehb.eu/files/downloads/European-Hydrogen-Backbone-April-2021-V3.pdf_x000a_3. EHB 2024: https://ehb.eu/files/downloads/EHB-2024-Implementation-Roadmap-Part-2.pdf"/>
    <s v="1,8 M€/km"/>
    <x v="1"/>
    <x v="1"/>
    <x v="1"/>
    <s v="Yes: 0.026 M€/km"/>
    <n v="2023"/>
    <s v="Yes"/>
    <s v="No"/>
    <n v="3"/>
    <n v="2"/>
    <s v="Pipeline size S"/>
    <s v="Yes"/>
    <n v="8"/>
  </r>
  <r>
    <m/>
    <m/>
    <x v="0"/>
    <x v="1"/>
    <x v="3"/>
    <s v=""/>
    <s v=" - for New - size M (36 inch)"/>
    <n v="700.63829787234044"/>
    <m/>
    <m/>
    <m/>
    <s v="3,2 M€/km"/>
    <x v="1"/>
    <x v="2"/>
    <x v="1"/>
    <s v="Yes: 0.093 M€/km"/>
    <n v="2023"/>
    <s v="Yes"/>
    <s v="No"/>
    <n v="3"/>
    <n v="4"/>
    <m/>
    <s v="Yes"/>
    <n v="10"/>
  </r>
  <r>
    <m/>
    <m/>
    <x v="0"/>
    <x v="1"/>
    <x v="3"/>
    <s v=""/>
    <s v=" - for New - size L (48 inch)"/>
    <n v="352.53846153846155"/>
    <m/>
    <m/>
    <m/>
    <s v="4,4 M€/km"/>
    <x v="1"/>
    <x v="3"/>
    <x v="1"/>
    <s v="Yes: 0.183 M€/km"/>
    <n v="2023"/>
    <s v="Yes"/>
    <s v="No"/>
    <n v="3"/>
    <n v="2"/>
    <s v="Pipeline size L"/>
    <s v="Yes"/>
    <n v="8"/>
  </r>
  <r>
    <m/>
    <m/>
    <x v="0"/>
    <x v="1"/>
    <x v="3"/>
    <s v=""/>
    <s v=" - for Repurposed - size S (20 inch)"/>
    <n v="471.66666666666674"/>
    <m/>
    <m/>
    <m/>
    <s v="0,54 M€/km"/>
    <x v="1"/>
    <x v="1"/>
    <x v="2"/>
    <s v="Yes: 0.026 M€/km"/>
    <n v="2023"/>
    <s v="Yes"/>
    <s v="No"/>
    <n v="3"/>
    <n v="0"/>
    <s v="Repurposed"/>
    <s v="Yes"/>
    <n v="6"/>
  </r>
  <r>
    <m/>
    <m/>
    <x v="0"/>
    <x v="1"/>
    <x v="3"/>
    <s v=""/>
    <s v=" - for Repurposed - size M (36 inch)"/>
    <n v="188.88888888888889"/>
    <m/>
    <m/>
    <m/>
    <s v="0,64 M€/km"/>
    <x v="1"/>
    <x v="2"/>
    <x v="2"/>
    <s v="Yes: 0.04 M€/km"/>
    <n v="2023"/>
    <s v="Yes"/>
    <s v="No"/>
    <n v="3"/>
    <n v="0"/>
    <s v="Repurposed"/>
    <s v="Yes"/>
    <n v="6"/>
  </r>
  <r>
    <m/>
    <m/>
    <x v="0"/>
    <x v="1"/>
    <x v="3"/>
    <s v=""/>
    <s v=" - for Repurposed - size L (48 inch)"/>
    <n v="81.769230769230774"/>
    <m/>
    <m/>
    <m/>
    <s v="0,88 M€/km"/>
    <x v="1"/>
    <x v="3"/>
    <x v="2"/>
    <s v="Yes: 0.183 M€/km"/>
    <n v="2023"/>
    <s v="Yes"/>
    <s v="No"/>
    <n v="3"/>
    <n v="0"/>
    <s v="Repurposed"/>
    <s v="Yes"/>
    <n v="6"/>
  </r>
  <r>
    <m/>
    <m/>
    <x v="0"/>
    <x v="1"/>
    <x v="3"/>
    <s v=""/>
    <s v=" - for New - size M (36 inch)"/>
    <n v="1191.0638297872342"/>
    <m/>
    <m/>
    <m/>
    <s v="5,44 M€/km"/>
    <x v="2"/>
    <x v="2"/>
    <x v="1"/>
    <s v="Yes: 0.158 M€/km"/>
    <n v="2023"/>
    <s v="Yes"/>
    <s v="No"/>
    <n v="3"/>
    <n v="1"/>
    <s v="Offshore"/>
    <s v="Yes"/>
    <n v="7"/>
  </r>
  <r>
    <m/>
    <m/>
    <x v="0"/>
    <x v="1"/>
    <x v="3"/>
    <s v=""/>
    <s v=" - for New - size L (48 inch)"/>
    <n v="599.30769230769226"/>
    <m/>
    <m/>
    <m/>
    <s v="7,48 M€/km"/>
    <x v="2"/>
    <x v="3"/>
    <x v="1"/>
    <s v="Yes: 0.311 M€/km"/>
    <n v="2023"/>
    <s v="Yes"/>
    <s v="No"/>
    <n v="3"/>
    <n v="1"/>
    <s v="Offshore"/>
    <s v="Yes"/>
    <n v="7"/>
  </r>
  <r>
    <m/>
    <m/>
    <x v="0"/>
    <x v="1"/>
    <x v="3"/>
    <s v=""/>
    <s v=" - for Repurposed - size M (36 inch)"/>
    <n v="321.66666666666674"/>
    <m/>
    <m/>
    <m/>
    <s v="1,09 M€/km"/>
    <x v="2"/>
    <x v="2"/>
    <x v="2"/>
    <s v="Yes: 0.068 M€/km"/>
    <n v="2023"/>
    <s v="Yes"/>
    <s v="No"/>
    <n v="3"/>
    <n v="0"/>
    <s v="Repurposed"/>
    <s v="Yes"/>
    <n v="6"/>
  </r>
  <r>
    <m/>
    <m/>
    <x v="0"/>
    <x v="1"/>
    <x v="3"/>
    <s v=""/>
    <s v=" - for Repurposed - size L (48 inch)"/>
    <n v="139.30769230769232"/>
    <m/>
    <m/>
    <m/>
    <s v="1,5 M€/km"/>
    <x v="2"/>
    <x v="3"/>
    <x v="2"/>
    <s v="Yes: 0.311 M€/km"/>
    <n v="2023"/>
    <s v="Yes"/>
    <s v="No"/>
    <n v="3"/>
    <n v="0"/>
    <s v="Repurposed"/>
    <s v="Yes"/>
    <n v="6"/>
  </r>
  <r>
    <m/>
    <s v="(Cited by DNV)"/>
    <x v="1"/>
    <x v="1"/>
    <x v="4"/>
    <s v=""/>
    <s v="(Cited by DNV) - for New - size M (36 inch) (Lower bound)"/>
    <n v="820"/>
    <s v="Page 45_x000a_Artelys' treatment:_x000a_Values found in DNV, Specification of a European Offshore Hydrogen Backbone (see link)._x000a_To convert the initial value in €/inch/km, a typical pipe of M size (36 inch) and 4040 MW was used. _x000a_"/>
    <m/>
    <s v="https://aquaventus.org/wp-content/uploads/2023/03/DNV-Study_Specification_of_a_European_Offshore_Hydrogen_Backbone.pdf"/>
    <s v="92k€/inch/km"/>
    <x v="0"/>
    <x v="2"/>
    <x v="1"/>
    <s v="Not specified"/>
    <n v="2023"/>
    <s v="Yes"/>
    <s v="No"/>
    <n v="3"/>
    <n v="3"/>
    <s v="Range instead of precise value"/>
    <s v="Yes"/>
    <n v="9"/>
  </r>
  <r>
    <m/>
    <m/>
    <x v="2"/>
    <x v="1"/>
    <x v="4"/>
    <s v=""/>
    <s v=" - for New - size M (36 inch) (Middle bound)"/>
    <n v="900"/>
    <m/>
    <m/>
    <m/>
    <s v="101k€/inch/km"/>
    <x v="0"/>
    <x v="2"/>
    <x v="1"/>
    <s v="Not specified"/>
    <n v="2023"/>
    <s v="Yes"/>
    <s v="No"/>
    <n v="3"/>
    <n v="3"/>
    <s v="Range instead of precise value"/>
    <s v="Yes"/>
    <n v="9"/>
  </r>
  <r>
    <m/>
    <m/>
    <x v="3"/>
    <x v="1"/>
    <x v="4"/>
    <s v=""/>
    <s v=" - for New - size M (36 inch) (Upper bound)"/>
    <n v="1105"/>
    <m/>
    <m/>
    <m/>
    <s v="124 k€/inch/km"/>
    <x v="0"/>
    <x v="2"/>
    <x v="1"/>
    <s v="Not specified"/>
    <n v="2023"/>
    <s v="Yes"/>
    <s v="No"/>
    <n v="3"/>
    <n v="3"/>
    <s v="Range instead of precise value"/>
    <s v="Yes"/>
    <n v="9"/>
  </r>
  <r>
    <m/>
    <m/>
    <x v="1"/>
    <x v="1"/>
    <x v="4"/>
    <s v=""/>
    <s v=" - for Repurposed - size M (36 inch) (Lower bound)"/>
    <n v="70"/>
    <m/>
    <m/>
    <m/>
    <s v="8,3 k€/inch/km"/>
    <x v="0"/>
    <x v="2"/>
    <x v="2"/>
    <s v="Not specified"/>
    <n v="2023"/>
    <s v="Yes"/>
    <s v="No"/>
    <n v="3"/>
    <n v="0"/>
    <s v="Repurposed"/>
    <s v="Yes"/>
    <n v="6"/>
  </r>
  <r>
    <m/>
    <m/>
    <x v="2"/>
    <x v="1"/>
    <x v="4"/>
    <s v=""/>
    <s v=" - for Repurposed - size M (36 inch) (Middle bound)"/>
    <n v="100"/>
    <m/>
    <m/>
    <m/>
    <s v="10,8 k€/inch/km"/>
    <x v="0"/>
    <x v="2"/>
    <x v="2"/>
    <s v="Not specified"/>
    <n v="2023"/>
    <s v="Yes"/>
    <s v="No"/>
    <n v="3"/>
    <n v="0"/>
    <s v="Repurposed"/>
    <s v="Yes"/>
    <n v="6"/>
  </r>
  <r>
    <m/>
    <m/>
    <x v="3"/>
    <x v="1"/>
    <x v="4"/>
    <s v=""/>
    <s v=" - for Repurposed - size M (36 inch) (Upper bound)"/>
    <n v="120"/>
    <m/>
    <m/>
    <m/>
    <s v="13,2 k€/inch/km"/>
    <x v="0"/>
    <x v="2"/>
    <x v="2"/>
    <s v="Not specified"/>
    <n v="2023"/>
    <s v="Yes"/>
    <s v="No"/>
    <n v="3"/>
    <n v="0"/>
    <s v="Repurposed"/>
    <s v="Yes"/>
    <n v="6"/>
  </r>
  <r>
    <s v="NSWPH"/>
    <m/>
    <x v="1"/>
    <x v="2"/>
    <x v="4"/>
    <s v=" "/>
    <s v="NSWPH -  - for New - size M (36 inch) (Lower bound)"/>
    <n v="800"/>
    <m/>
    <m/>
    <m/>
    <s v="90 k€/inch/km"/>
    <x v="0"/>
    <x v="2"/>
    <x v="1"/>
    <s v="Not specified"/>
    <n v="2023"/>
    <s v="Yes"/>
    <s v="No"/>
    <n v="3"/>
    <n v="3"/>
    <s v="Range instead of precise value"/>
    <s v="Yes"/>
    <n v="9"/>
  </r>
  <r>
    <m/>
    <m/>
    <x v="2"/>
    <x v="2"/>
    <x v="4"/>
    <s v=""/>
    <s v=" - for New - size M (36 inch) (Middle bound)"/>
    <n v="1060"/>
    <m/>
    <m/>
    <m/>
    <s v="119 k€/inch/km"/>
    <x v="0"/>
    <x v="2"/>
    <x v="1"/>
    <s v="Not specified"/>
    <n v="2023"/>
    <s v="Yes"/>
    <s v="No"/>
    <n v="3"/>
    <n v="3"/>
    <s v="Range instead of precise value"/>
    <s v="Yes"/>
    <n v="9"/>
  </r>
  <r>
    <m/>
    <m/>
    <x v="3"/>
    <x v="2"/>
    <x v="4"/>
    <s v=""/>
    <s v=" - for New - size M (36 inch) (Upper bound)"/>
    <n v="1400"/>
    <m/>
    <m/>
    <m/>
    <s v="157 k€/inch/km"/>
    <x v="0"/>
    <x v="2"/>
    <x v="1"/>
    <s v="Not specified"/>
    <n v="2023"/>
    <s v="Yes"/>
    <s v="No"/>
    <n v="3"/>
    <n v="3"/>
    <s v="Range instead of precise value"/>
    <s v="Yes"/>
    <n v="9"/>
  </r>
  <r>
    <s v="TNO"/>
    <m/>
    <x v="1"/>
    <x v="3"/>
    <x v="4"/>
    <s v="TNO"/>
    <s v=" - for New - size M (36 inch) (Lower bound)"/>
    <n v="267"/>
    <m/>
    <m/>
    <m/>
    <s v="30 k€/inch/km"/>
    <x v="0"/>
    <x v="2"/>
    <x v="1"/>
    <s v="Not specified"/>
    <n v="2023"/>
    <s v="Yes"/>
    <s v="No"/>
    <n v="3"/>
    <n v="3"/>
    <s v="Range instead of precise value"/>
    <s v="Yes"/>
    <n v="9"/>
  </r>
  <r>
    <m/>
    <m/>
    <x v="3"/>
    <x v="3"/>
    <x v="4"/>
    <s v=""/>
    <s v=" - for New - size M (36 inch) (Upper bound)"/>
    <n v="642"/>
    <m/>
    <m/>
    <m/>
    <s v="72 k€/inch/km"/>
    <x v="0"/>
    <x v="2"/>
    <x v="1"/>
    <s v="Not specified"/>
    <n v="2023"/>
    <s v="Yes"/>
    <s v="No"/>
    <n v="3"/>
    <n v="3"/>
    <s v="Range instead of precise value"/>
    <s v="Yes"/>
    <n v="9"/>
  </r>
  <r>
    <m/>
    <m/>
    <x v="1"/>
    <x v="3"/>
    <x v="4"/>
    <s v=""/>
    <s v=" - for Repurposed - size M (36 inch) (Lower bound)"/>
    <n v="3"/>
    <m/>
    <m/>
    <m/>
    <s v="0,3 k€/inch/km"/>
    <x v="0"/>
    <x v="2"/>
    <x v="2"/>
    <s v="Not specified"/>
    <n v="2023"/>
    <s v="Yes"/>
    <s v="No"/>
    <n v="3"/>
    <n v="0"/>
    <s v="Repurposed"/>
    <s v="No"/>
    <n v="0"/>
  </r>
  <r>
    <m/>
    <m/>
    <x v="3"/>
    <x v="3"/>
    <x v="4"/>
    <s v=""/>
    <s v=" - for Repurposed - size M (36 inch) (Upper bound)"/>
    <n v="642"/>
    <m/>
    <m/>
    <m/>
    <s v="72 k€/inch/km"/>
    <x v="0"/>
    <x v="2"/>
    <x v="2"/>
    <s v="Not specified"/>
    <n v="2023"/>
    <s v="Yes"/>
    <s v="No"/>
    <n v="3"/>
    <n v="0"/>
    <s v="Repurposed"/>
    <s v="No"/>
    <n v="0"/>
  </r>
  <r>
    <s v="E-Bridge"/>
    <s v="Assessment of connection concepts for Germany’s far out North Sea offshore wind areas"/>
    <x v="0"/>
    <x v="4"/>
    <x v="5"/>
    <s v="E-Bridge"/>
    <s v="Assessment of connection concepts for Germany’s far out North Sea offshore wind areas - size 50% L-pipes, 35% M-pipes and 15% S-pipes"/>
    <n v="966"/>
    <s v="Page 45_x000a_Artelys' treatment: According to the source, the CAPEX on onshore pipes is 4,4 M€/km. A factor of 170% applied to find the offshore CAPEX of 7,48 M€/km. 14% of the pipeline capacity is met by 2,8 GW_H2 pipes, 35% by 7 GW_H2 pipes and 50% by 9,8 GW_H2 pipes. The values in k€/MW_H2/km are calculated with a capacity-weighted average."/>
    <m/>
    <s v="https://aquaventus.org/wp-content/uploads/2024/09/240829_AQV_ShortStudy_EN.pdf"/>
    <s v="966 €/MW_H2/km"/>
    <x v="2"/>
    <x v="4"/>
    <x v="0"/>
    <s v="Not specified"/>
    <n v="2024"/>
    <s v="Yes"/>
    <s v="Yes"/>
    <n v="3"/>
    <n v="1"/>
    <s v="Offshore"/>
    <s v="Yes"/>
    <n v="7"/>
  </r>
  <r>
    <m/>
    <s v="Assessment of connection concepts for Germany’s far out North Sea offshore wind areas"/>
    <x v="0"/>
    <x v="4"/>
    <x v="5"/>
    <s v=""/>
    <s v="Assessment of connection concepts for Germany’s far out North Sea offshore wind areas - size 50% L-pipes, 35% M-pipes and 15% S-pipes"/>
    <n v="568"/>
    <m/>
    <m/>
    <m/>
    <s v="568 €/MW_H2/km"/>
    <x v="1"/>
    <x v="4"/>
    <x v="0"/>
    <s v="Not specified"/>
    <n v="2024"/>
    <s v="Yes"/>
    <s v="Yes"/>
    <n v="3"/>
    <n v="3"/>
    <s v="Restraint geographical scope"/>
    <s v="Yes"/>
    <n v="9"/>
  </r>
  <r>
    <s v="Strategy&amp;"/>
    <s v="Report: HyWay 27: hydrogen transmission using the existing natural gas grid?"/>
    <x v="0"/>
    <x v="5"/>
    <x v="6"/>
    <s v="Strategy&amp;"/>
    <s v="Report: HyWay 27: hydrogen transmission using the existing natural gas grid? - for New - size M (36 inch)"/>
    <n v="352"/>
    <s v="Artelys' treatment:_x000a_Page 72: 3,2M€/km for new pipes and 0,84 M€/km for repurposed pipes. _x000a_Page 75, Strategy&amp; mentions that 36-inch pipe corresponds to approx. 9.1 GW of capacity_x000a_The price in M€/km was then divided by the capacity  to find the price in €/km/MW"/>
    <s v="Source: Gasunie, which provided non-public information, according to the report (page 3)"/>
    <s v="https://www.entsog.eu/sites/default/files/2021-11/1.2.%20HyWay27%20Final%20report%20%28UK%29.pdf"/>
    <s v="352 €/MW/km"/>
    <x v="0"/>
    <x v="2"/>
    <x v="1"/>
    <s v="Not specified"/>
    <n v="2021"/>
    <s v="Yes"/>
    <s v="No"/>
    <n v="3"/>
    <n v="4"/>
    <m/>
    <s v="No"/>
    <n v="0"/>
  </r>
  <r>
    <m/>
    <s v="Report: HyWay 27: hydrogen transmission using the existing natural gas grid?"/>
    <x v="0"/>
    <x v="5"/>
    <x v="6"/>
    <s v=""/>
    <s v="Report: HyWay 27: hydrogen transmission using the existing natural gas grid? - for Repurposed - size M (36 inch)"/>
    <n v="92"/>
    <m/>
    <m/>
    <m/>
    <s v="92 €/MW/km"/>
    <x v="0"/>
    <x v="2"/>
    <x v="2"/>
    <s v="Not specified"/>
    <n v="2021"/>
    <s v="Yes"/>
    <s v="No"/>
    <n v="3"/>
    <n v="0"/>
    <s v="Repurposed"/>
    <s v="Yes"/>
    <n v="6"/>
  </r>
  <r>
    <s v="Transition Accelerator"/>
    <s v=" Technical Brief, The Techno-Economics of Hydrogen Pipelines"/>
    <x v="0"/>
    <x v="6"/>
    <x v="7"/>
    <s v="Transition Accelerator"/>
    <s v=" Technical Brief, The Techno-Economics of Hydrogen Pipelines - for New - size M (36 inch)"/>
    <n v="613"/>
    <s v="Artelys' treatment: It was assumed that 1 kg H2 provides 33,33 kWh_H2 PCI and 1 US$ = 0,9 €"/>
    <s v="The calculation methodology follows a method developed from historical cost data for natural gas pipelines in the US and summarized in the HDSAM model developed_x000a_by Argonne National laboratory (&quot;Hydrogen Delivery Scenario Analysis Model (HDSAM).&quot; [Online] Accessed Nov. 19. 2021. Available at_x000a_https://hdsam.es.anl.gov/index.php?content=hdsam):_x000a__x000a_page 46: Case study: Pipeline cost calculations 8096 M CAD for a 1500 km long and operating at maximum capacity H2 pipe (4,279 kt H2/day)_x000a_Exchange rate: 0.75 US$/C$_x000a_36-inch steel pipeline with an inlet diameter (D) of 895.3 mm"/>
    <s v="https://transitionaccelerator.ca/wp-content/uploads/2023/06/The-Techno-Economics-of-Hydrogen-Pipelines-v2.pdf"/>
    <s v="681 USD/MW_H2/km"/>
    <x v="0"/>
    <x v="2"/>
    <x v="1"/>
    <s v="Yes"/>
    <n v="2021"/>
    <s v="Yes"/>
    <s v="Yes"/>
    <n v="3"/>
    <n v="3"/>
    <s v="Restraint geographical scope"/>
    <s v="Yes"/>
    <n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2151176-C630-4B07-92B5-0FC204436BA7}" name="Tableau croisé dynamique1" cacheId="0" applyNumberFormats="0" applyBorderFormats="0" applyFontFormats="0" applyPatternFormats="0" applyAlignmentFormats="0" applyWidthHeightFormats="1" dataCaption="Valeurs" updatedVersion="8" minRefreshableVersion="3" useAutoFormatting="1" rowGrandTotals="0" colGrandTotals="0" itemPrintTitles="1" createdVersion="8" indent="0" outline="1" outlineData="1" multipleFieldFilters="0" chartFormat="11">
  <location ref="Z45:AE63" firstHeaderRow="1" firstDataRow="2" firstDataCol="1" rowPageCount="3" colPageCount="1"/>
  <pivotFields count="24">
    <pivotField showAll="0" defaultSubtotal="0"/>
    <pivotField showAll="0" defaultSubtotal="0"/>
    <pivotField axis="axisPage" multipleItemSelectionAllowed="1" showAll="0" defaultSubtotal="0">
      <items count="4">
        <item x="1"/>
        <item x="2"/>
        <item x="3"/>
        <item x="0"/>
      </items>
    </pivotField>
    <pivotField axis="axisRow" subtotalTop="0" showAll="0" defaultSubtotal="0">
      <items count="7">
        <item x="4"/>
        <item x="5"/>
        <item x="3"/>
        <item x="6"/>
        <item x="2"/>
        <item x="1"/>
        <item x="0"/>
      </items>
    </pivotField>
    <pivotField axis="axisRow" subtotalTop="0" showAll="0" defaultSubtotal="0">
      <items count="18">
        <item x="7"/>
        <item m="1" x="10"/>
        <item x="5"/>
        <item m="1" x="14"/>
        <item x="6"/>
        <item m="1" x="17"/>
        <item m="1" x="15"/>
        <item m="1" x="16"/>
        <item m="1" x="11"/>
        <item m="1" x="12"/>
        <item m="1" x="13"/>
        <item m="1" x="9"/>
        <item m="1" x="8"/>
        <item x="2"/>
        <item x="1"/>
        <item x="0"/>
        <item x="4"/>
        <item x="3"/>
      </items>
    </pivotField>
    <pivotField showAll="0" defaultSubtotal="0"/>
    <pivotField showAll="0" defaultSubtotal="0"/>
    <pivotField dataField="1" showAll="0" defaultSubtotal="0"/>
    <pivotField showAll="0" defaultSubtotal="0"/>
    <pivotField subtotalTop="0" showAll="0" defaultSubtotal="0"/>
    <pivotField showAll="0" defaultSubtotal="0"/>
    <pivotField showAll="0" defaultSubtotal="0"/>
    <pivotField axis="axisPage" subtotalTop="0" multipleItemSelectionAllowed="1" showAll="0" defaultSubtotal="0">
      <items count="3">
        <item x="0"/>
        <item h="1" x="2"/>
        <item x="1"/>
      </items>
    </pivotField>
    <pivotField axis="axisCol" showAll="0" defaultSubtotal="0">
      <items count="5">
        <item x="4"/>
        <item x="3"/>
        <item x="2"/>
        <item x="0"/>
        <item x="1"/>
      </items>
    </pivotField>
    <pivotField axis="axisPage" multipleItemSelectionAllowed="1" showAll="0" defaultSubtotal="0">
      <items count="3">
        <item x="1"/>
        <item x="0"/>
        <item h="1" x="2"/>
      </items>
    </pivotField>
    <pivotField subtotalTop="0" showAll="0" defaultSubtotal="0"/>
    <pivotField subtotalTop="0" showAll="0" defaultSubtotal="0"/>
    <pivotField showAll="0" defaultSubtotal="0"/>
    <pivotField showAll="0" defaultSubtotal="0"/>
    <pivotField showAll="0" defaultSubtotal="0"/>
    <pivotField showAll="0" defaultSubtotal="0"/>
    <pivotField showAll="0" defaultSubtotal="0"/>
    <pivotField subtotalTop="0" showAll="0" defaultSubtotal="0"/>
    <pivotField subtotalTop="0" showAll="0" defaultSubtotal="0"/>
  </pivotFields>
  <rowFields count="2">
    <field x="3"/>
    <field x="4"/>
  </rowFields>
  <rowItems count="17">
    <i>
      <x/>
    </i>
    <i r="1">
      <x v="2"/>
    </i>
    <i>
      <x v="1"/>
    </i>
    <i r="1">
      <x v="4"/>
    </i>
    <i>
      <x v="2"/>
    </i>
    <i r="1">
      <x v="16"/>
    </i>
    <i>
      <x v="3"/>
    </i>
    <i r="1">
      <x/>
    </i>
    <i>
      <x v="4"/>
    </i>
    <i r="1">
      <x v="16"/>
    </i>
    <i>
      <x v="5"/>
    </i>
    <i r="1">
      <x v="16"/>
    </i>
    <i r="1">
      <x v="17"/>
    </i>
    <i>
      <x v="6"/>
    </i>
    <i r="1">
      <x v="13"/>
    </i>
    <i r="1">
      <x v="14"/>
    </i>
    <i r="1">
      <x v="15"/>
    </i>
  </rowItems>
  <colFields count="1">
    <field x="13"/>
  </colFields>
  <colItems count="5">
    <i>
      <x/>
    </i>
    <i>
      <x v="1"/>
    </i>
    <i>
      <x v="2"/>
    </i>
    <i>
      <x v="3"/>
    </i>
    <i>
      <x v="4"/>
    </i>
  </colItems>
  <pageFields count="3">
    <pageField fld="14" hier="-1"/>
    <pageField fld="2" hier="-1"/>
    <pageField fld="12" hier="-1"/>
  </pageFields>
  <dataFields count="1">
    <dataField name="Moyenne de Value (€/MW/km)" fld="7" subtotal="average" baseField="11" baseItem="0"/>
  </dataFields>
  <formats count="13">
    <format dxfId="36">
      <pivotArea collapsedLevelsAreSubtotals="1" fieldPosition="0">
        <references count="2">
          <reference field="3" count="1" selected="0">
            <x v="0"/>
          </reference>
          <reference field="4" count="1">
            <x v="2"/>
          </reference>
        </references>
      </pivotArea>
    </format>
    <format dxfId="35">
      <pivotArea collapsedLevelsAreSubtotals="1" fieldPosition="0">
        <references count="1">
          <reference field="3" count="1">
            <x v="5"/>
          </reference>
        </references>
      </pivotArea>
    </format>
    <format dxfId="34">
      <pivotArea collapsedLevelsAreSubtotals="1" fieldPosition="0">
        <references count="2">
          <reference field="3" count="1" selected="0">
            <x v="5"/>
          </reference>
          <reference field="4" count="2">
            <x v="1"/>
            <x v="3"/>
          </reference>
        </references>
      </pivotArea>
    </format>
    <format dxfId="33">
      <pivotArea collapsedLevelsAreSubtotals="1" fieldPosition="0">
        <references count="1">
          <reference field="3" count="1">
            <x v="1"/>
          </reference>
        </references>
      </pivotArea>
    </format>
    <format dxfId="32">
      <pivotArea collapsedLevelsAreSubtotals="1" fieldPosition="0">
        <references count="2">
          <reference field="3" count="1" selected="0">
            <x v="1"/>
          </reference>
          <reference field="4" count="1">
            <x v="4"/>
          </reference>
        </references>
      </pivotArea>
    </format>
    <format dxfId="31">
      <pivotArea collapsedLevelsAreSubtotals="1" fieldPosition="0">
        <references count="1">
          <reference field="3" count="1">
            <x v="2"/>
          </reference>
        </references>
      </pivotArea>
    </format>
    <format dxfId="30">
      <pivotArea collapsedLevelsAreSubtotals="1" fieldPosition="0">
        <references count="2">
          <reference field="3" count="1" selected="0">
            <x v="2"/>
          </reference>
          <reference field="4" count="1">
            <x v="3"/>
          </reference>
        </references>
      </pivotArea>
    </format>
    <format dxfId="29">
      <pivotArea collapsedLevelsAreSubtotals="1" fieldPosition="0">
        <references count="1">
          <reference field="3" count="1">
            <x v="3"/>
          </reference>
        </references>
      </pivotArea>
    </format>
    <format dxfId="28">
      <pivotArea collapsedLevelsAreSubtotals="1" fieldPosition="0">
        <references count="2">
          <reference field="3" count="1" selected="0">
            <x v="3"/>
          </reference>
          <reference field="4" count="1">
            <x v="0"/>
          </reference>
        </references>
      </pivotArea>
    </format>
    <format dxfId="27">
      <pivotArea collapsedLevelsAreSubtotals="1" fieldPosition="0">
        <references count="1">
          <reference field="3" count="1">
            <x v="6"/>
          </reference>
        </references>
      </pivotArea>
    </format>
    <format dxfId="26">
      <pivotArea collapsedLevelsAreSubtotals="1" fieldPosition="0">
        <references count="2">
          <reference field="3" count="1" selected="0">
            <x v="6"/>
          </reference>
          <reference field="4" count="3">
            <x v="5"/>
            <x v="6"/>
            <x v="7"/>
          </reference>
        </references>
      </pivotArea>
    </format>
    <format dxfId="25">
      <pivotArea collapsedLevelsAreSubtotals="1" fieldPosition="0">
        <references count="1">
          <reference field="3" count="1">
            <x v="4"/>
          </reference>
        </references>
      </pivotArea>
    </format>
    <format dxfId="24">
      <pivotArea collapsedLevelsAreSubtotals="1" fieldPosition="0">
        <references count="2">
          <reference field="3" count="1" selected="0">
            <x v="4"/>
          </reference>
          <reference field="4" count="1">
            <x v="3"/>
          </reference>
        </references>
      </pivotArea>
    </format>
  </formats>
  <chartFormats count="5">
    <chartFormat chart="0" format="0" series="1">
      <pivotArea type="data" outline="0" fieldPosition="0">
        <references count="2">
          <reference field="4294967294" count="1" selected="0">
            <x v="0"/>
          </reference>
          <reference field="13" count="1" selected="0">
            <x v="0"/>
          </reference>
        </references>
      </pivotArea>
    </chartFormat>
    <chartFormat chart="0" format="1" series="1">
      <pivotArea type="data" outline="0" fieldPosition="0">
        <references count="2">
          <reference field="4294967294" count="1" selected="0">
            <x v="0"/>
          </reference>
          <reference field="13" count="1" selected="0">
            <x v="1"/>
          </reference>
        </references>
      </pivotArea>
    </chartFormat>
    <chartFormat chart="0" format="2" series="1">
      <pivotArea type="data" outline="0" fieldPosition="0">
        <references count="2">
          <reference field="4294967294" count="1" selected="0">
            <x v="0"/>
          </reference>
          <reference field="13" count="1" selected="0">
            <x v="2"/>
          </reference>
        </references>
      </pivotArea>
    </chartFormat>
    <chartFormat chart="0" format="4" series="1">
      <pivotArea type="data" outline="0" fieldPosition="0">
        <references count="2">
          <reference field="4294967294" count="1" selected="0">
            <x v="0"/>
          </reference>
          <reference field="13" count="1" selected="0">
            <x v="3"/>
          </reference>
        </references>
      </pivotArea>
    </chartFormat>
    <chartFormat chart="0" format="5" series="1">
      <pivotArea type="data" outline="0" fieldPosition="0">
        <references count="2">
          <reference field="4294967294" count="1" selected="0">
            <x v="0"/>
          </reference>
          <reference field="13"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2024.entsos-tyndp-scenarios.eu/download/" TargetMode="External"/><Relationship Id="rId13" Type="http://schemas.openxmlformats.org/officeDocument/2006/relationships/hyperlink" Target="https://www.bundesnetzagentur.de/SharedDocs/Pressemitteilungen/EN/2025/20250103_SMARD.html" TargetMode="External"/><Relationship Id="rId18" Type="http://schemas.openxmlformats.org/officeDocument/2006/relationships/hyperlink" Target="https://commission.europa.eu/publications/germany-final-updated-necp-2021-2030-submitted-2024_en" TargetMode="External"/><Relationship Id="rId3" Type="http://schemas.openxmlformats.org/officeDocument/2006/relationships/hyperlink" Target="https://analysesetdonnees.rte-france.com/en/generation/wind" TargetMode="External"/><Relationship Id="rId7" Type="http://schemas.openxmlformats.org/officeDocument/2006/relationships/hyperlink" Target="https://www.entsoe.eu/data/power-stats/" TargetMode="External"/><Relationship Id="rId12" Type="http://schemas.openxmlformats.org/officeDocument/2006/relationships/hyperlink" Target="https://www.entsoe.eu/eraa/2024/downloads/" TargetMode="External"/><Relationship Id="rId17" Type="http://schemas.openxmlformats.org/officeDocument/2006/relationships/hyperlink" Target="https://energy.ec.europa.eu/system/files/2021-10/swd2021_307_en_autre_document_travail_service_part2_v2.pdf" TargetMode="External"/><Relationship Id="rId2" Type="http://schemas.openxmlformats.org/officeDocument/2006/relationships/hyperlink" Target="https://www.renewables.ninja/" TargetMode="External"/><Relationship Id="rId16" Type="http://schemas.openxmlformats.org/officeDocument/2006/relationships/hyperlink" Target="https://data.jrc.ec.europa.eu/dataset/6d0774ec-4fe5-4ca3-8564-626f4927744e" TargetMode="External"/><Relationship Id="rId1" Type="http://schemas.openxmlformats.org/officeDocument/2006/relationships/hyperlink" Target="https://www.windguard.de/jahr-2024.html?file=files/cto_layout/img/unternehmen/windenergiestatistik/2024/Jahr/Status%20des%20Windenergieausbaus%20an%20Land_Jahr%202024.pdf" TargetMode="External"/><Relationship Id="rId6" Type="http://schemas.openxmlformats.org/officeDocument/2006/relationships/hyperlink" Target="https://www.windindustry-in-germany.com/f/cb17/0/65df28d94500292f801a6f63/WindEuropeWindenergyinEurope2023.pdf" TargetMode="External"/><Relationship Id="rId11" Type="http://schemas.openxmlformats.org/officeDocument/2006/relationships/hyperlink" Target="https://www.windguard.de/veroeffentlichungen.html?file=files/cto_layout/img/unternehmen/veroeffentlichungen/2020/Volllaststunden%20von%20Windenergieanlagen%20an%20Land%202020.pdf" TargetMode="External"/><Relationship Id="rId5" Type="http://schemas.openxmlformats.org/officeDocument/2006/relationships/hyperlink" Target="https://www.connaissancedesenergies.org/sites/connaissancedesenergies.org/files/pdf-actualites/WindEurope-report-wind-energy-in-europe-2022.pdf" TargetMode="External"/><Relationship Id="rId15" Type="http://schemas.openxmlformats.org/officeDocument/2006/relationships/hyperlink" Target="https://data.europa.eu/doi/10.2760/0396389" TargetMode="External"/><Relationship Id="rId10" Type="http://schemas.openxmlformats.org/officeDocument/2006/relationships/hyperlink" Target="https://www.nzz.ch/visuals/windkraft-in-deutschland-grosse-versprechen-kleine-ertraege-ld.1710681" TargetMode="External"/><Relationship Id="rId19" Type="http://schemas.openxmlformats.org/officeDocument/2006/relationships/drawing" Target="../drawings/drawing2.xml"/><Relationship Id="rId4" Type="http://schemas.openxmlformats.org/officeDocument/2006/relationships/hyperlink" Target="https://www.france-renouvelables.fr/wp-content/uploads/2024/11/ObservatoireEolien-ENG-prefinal.pdf" TargetMode="External"/><Relationship Id="rId9" Type="http://schemas.openxmlformats.org/officeDocument/2006/relationships/hyperlink" Target="https://2024.entsos-tyndp-scenarios.eu/download/" TargetMode="External"/><Relationship Id="rId14" Type="http://schemas.openxmlformats.org/officeDocument/2006/relationships/hyperlink" Target="https://www.windguard.de/veroeffentlichungen.html?file=files/cto_layout/img/unternehmen/veroeffentlichungen/2020/Volllaststunden%20von%20Windenergieanlagen%20an%20Land%202020.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eionet.europa.eu/reportnet/docs/govreg/projections/govregart18_ec_parameters_projections_2021.zip/view" TargetMode="External"/><Relationship Id="rId3" Type="http://schemas.openxmlformats.org/officeDocument/2006/relationships/hyperlink" Target="https://www.elia.be/-/media/project/elia/elia-site/electricity-market-and-system/adequacy/adequacy-studies/adequacy-studies/20230707_assumptionsworkbook_adeqflex23.xlsx" TargetMode="External"/><Relationship Id="rId7" Type="http://schemas.openxmlformats.org/officeDocument/2006/relationships/hyperlink" Target="https://www.enerdata.net/publications/executive-briefing/gas-prices-estimates-convergence-asia-europe.pdf" TargetMode="External"/><Relationship Id="rId2" Type="http://schemas.openxmlformats.org/officeDocument/2006/relationships/hyperlink" Target="https://iea.blob.core.windows.net/assets/89a1aa9a-e1bd-4803-b37b-59d6e7fba1e9/GlobalEnergyandClimateModelDocumentation2024.pdf" TargetMode="External"/><Relationship Id="rId1" Type="http://schemas.openxmlformats.org/officeDocument/2006/relationships/hyperlink" Target="https://www.deloitte.com/content/dam/assets-zone3/ca/en/docs/industries/energy-resources-industrials/2024/ca-energy-oil-gas-price-forecast-Q3-en-AODA.pdf" TargetMode="External"/><Relationship Id="rId6" Type="http://schemas.openxmlformats.org/officeDocument/2006/relationships/hyperlink" Target="https://www.eionet.europa.eu/reportnet/docs/govreg/projections/govregart18_ec_parameters_projections_2021.zip/view" TargetMode="External"/><Relationship Id="rId5" Type="http://schemas.openxmlformats.org/officeDocument/2006/relationships/hyperlink" Target="https://www.eia.gov/outlooks/steo/report/natgas.php" TargetMode="External"/><Relationship Id="rId4" Type="http://schemas.openxmlformats.org/officeDocument/2006/relationships/hyperlink" Target="https://2024.entsos-tyndp-scenarios.eu/wp-content/uploads/2024/05/TYNDP_2024_Scenarios_Methodology_Report_240522.pdf"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aquaventus.org/wp-content/uploads/2024/09/240829_AQV_ShortStudy_EN.pdf" TargetMode="External"/><Relationship Id="rId7" Type="http://schemas.openxmlformats.org/officeDocument/2006/relationships/drawing" Target="../drawings/drawing4.xml"/><Relationship Id="rId2" Type="http://schemas.openxmlformats.org/officeDocument/2006/relationships/hyperlink" Target="https://2024.entsos-tyndp-scenarios.eu/wp-content/uploads/2024/07/TYNDP_2024_Scenarios_Methodology_Report_240708.pdf" TargetMode="External"/><Relationship Id="rId1" Type="http://schemas.openxmlformats.org/officeDocument/2006/relationships/pivotTable" Target="../pivotTables/pivotTable1.xml"/><Relationship Id="rId6" Type="http://schemas.openxmlformats.org/officeDocument/2006/relationships/hyperlink" Target="https://aquaventus.org/wp-content/uploads/2023/03/DNV-Study_Specification_of_a_European_Offshore_Hydrogen_Backbone.pdf" TargetMode="External"/><Relationship Id="rId5" Type="http://schemas.openxmlformats.org/officeDocument/2006/relationships/hyperlink" Target="https://www.entsog.eu/sites/default/files/2021-11/1.2.%20HyWay27%20Final%20report%20%28UK%29.pdf" TargetMode="External"/><Relationship Id="rId4" Type="http://schemas.openxmlformats.org/officeDocument/2006/relationships/hyperlink" Target="https://transitionaccelerator.ca/wp-content/uploads/2023/06/The-Techno-Economics-of-Hydrogen-Pipelines-v2.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ublications.jrc.ec.europa.eu/repository/handle/JRC140567" TargetMode="External"/><Relationship Id="rId2" Type="http://schemas.openxmlformats.org/officeDocument/2006/relationships/hyperlink" Target="https://op.europa.eu/en/publication-detail/-/publication/7ab70e32-a5a0-11ec-83e1-01aa75ed71a1/language-en" TargetMode="External"/><Relationship Id="rId1" Type="http://schemas.openxmlformats.org/officeDocument/2006/relationships/hyperlink" Target="https://iea.blob.core.windows.net/assets/9e3a3493-b9a6-4b7d-b499-7ca48e357561/The_Future_of_Hydrogen.pdf" TargetMode="External"/><Relationship Id="rId6" Type="http://schemas.openxmlformats.org/officeDocument/2006/relationships/drawing" Target="../drawings/drawing5.xml"/><Relationship Id="rId5" Type="http://schemas.openxmlformats.org/officeDocument/2006/relationships/hyperlink" Target="https://2024.entsos-tyndp-scenarios.eu/wp-content/uploads/2024/05/TYNDP_2024_Scenarios_Methodology_Report_240522.pdf" TargetMode="External"/><Relationship Id="rId4" Type="http://schemas.openxmlformats.org/officeDocument/2006/relationships/hyperlink" Target="https://www.bloomenergy.com/bloomelectrolyz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D7156-1E97-4B5E-8428-9F4FA86E87EE}">
  <sheetPr codeName="Feuil2"/>
  <dimension ref="B2:E29"/>
  <sheetViews>
    <sheetView tabSelected="1" workbookViewId="0"/>
  </sheetViews>
  <sheetFormatPr defaultColWidth="8.85546875" defaultRowHeight="15" x14ac:dyDescent="0.25"/>
  <cols>
    <col min="1" max="1" width="8.85546875" style="1"/>
    <col min="2" max="2" width="17.7109375" style="1" bestFit="1" customWidth="1"/>
    <col min="3" max="3" width="89.85546875" style="1" customWidth="1"/>
    <col min="4" max="4" width="55.7109375" style="9" customWidth="1"/>
    <col min="5" max="5" width="16.85546875" style="1" customWidth="1"/>
    <col min="6" max="16384" width="8.85546875" style="1"/>
  </cols>
  <sheetData>
    <row r="2" spans="2:5" ht="15.75" x14ac:dyDescent="0.25">
      <c r="B2" s="107"/>
      <c r="C2" s="107"/>
      <c r="D2" s="107"/>
      <c r="E2" s="107"/>
    </row>
    <row r="5" spans="2:5" x14ac:dyDescent="0.25">
      <c r="D5" s="1"/>
    </row>
    <row r="6" spans="2:5" x14ac:dyDescent="0.25">
      <c r="D6" s="1"/>
    </row>
    <row r="7" spans="2:5" x14ac:dyDescent="0.25">
      <c r="D7" s="1"/>
    </row>
    <row r="10" spans="2:5" ht="30" x14ac:dyDescent="0.25">
      <c r="B10" s="2" t="s">
        <v>0</v>
      </c>
      <c r="C10" s="3" t="s">
        <v>1</v>
      </c>
      <c r="D10" s="4"/>
    </row>
    <row r="11" spans="2:5" x14ac:dyDescent="0.25">
      <c r="B11" s="5" t="s">
        <v>2</v>
      </c>
      <c r="C11" s="6" t="s">
        <v>3</v>
      </c>
      <c r="D11" s="4"/>
    </row>
    <row r="12" spans="2:5" x14ac:dyDescent="0.25">
      <c r="B12" s="5" t="s">
        <v>4</v>
      </c>
      <c r="C12" s="6" t="s">
        <v>5</v>
      </c>
      <c r="D12" s="4"/>
    </row>
    <row r="13" spans="2:5" x14ac:dyDescent="0.25">
      <c r="B13" s="5" t="s">
        <v>6</v>
      </c>
      <c r="C13" s="6" t="s">
        <v>7</v>
      </c>
      <c r="D13" s="4"/>
    </row>
    <row r="14" spans="2:5" x14ac:dyDescent="0.25">
      <c r="B14" s="7" t="s">
        <v>8</v>
      </c>
      <c r="C14" s="8">
        <v>45896</v>
      </c>
      <c r="D14" s="4"/>
    </row>
    <row r="16" spans="2:5" ht="14.45" customHeight="1" x14ac:dyDescent="0.25">
      <c r="B16" s="108" t="s">
        <v>9</v>
      </c>
      <c r="C16" s="109"/>
    </row>
    <row r="17" spans="2:3" x14ac:dyDescent="0.25">
      <c r="B17" s="110"/>
      <c r="C17" s="111"/>
    </row>
    <row r="18" spans="2:3" x14ac:dyDescent="0.25">
      <c r="B18" s="110"/>
      <c r="C18" s="111"/>
    </row>
    <row r="19" spans="2:3" x14ac:dyDescent="0.25">
      <c r="B19" s="110"/>
      <c r="C19" s="111"/>
    </row>
    <row r="20" spans="2:3" x14ac:dyDescent="0.25">
      <c r="B20" s="110"/>
      <c r="C20" s="111"/>
    </row>
    <row r="21" spans="2:3" x14ac:dyDescent="0.25">
      <c r="B21" s="110"/>
      <c r="C21" s="111"/>
    </row>
    <row r="22" spans="2:3" x14ac:dyDescent="0.25">
      <c r="B22" s="110"/>
      <c r="C22" s="111"/>
    </row>
    <row r="23" spans="2:3" x14ac:dyDescent="0.25">
      <c r="B23" s="110"/>
      <c r="C23" s="111"/>
    </row>
    <row r="24" spans="2:3" x14ac:dyDescent="0.25">
      <c r="B24" s="105" t="s">
        <v>10</v>
      </c>
      <c r="C24" s="106"/>
    </row>
    <row r="25" spans="2:3" x14ac:dyDescent="0.25">
      <c r="B25" s="105" t="s">
        <v>11</v>
      </c>
      <c r="C25" s="106"/>
    </row>
    <row r="26" spans="2:3" x14ac:dyDescent="0.25">
      <c r="B26" s="105" t="s">
        <v>12</v>
      </c>
      <c r="C26" s="106"/>
    </row>
    <row r="27" spans="2:3" x14ac:dyDescent="0.25">
      <c r="B27" s="105" t="s">
        <v>13</v>
      </c>
      <c r="C27" s="106"/>
    </row>
    <row r="28" spans="2:3" x14ac:dyDescent="0.25">
      <c r="B28" s="65"/>
      <c r="C28" s="66"/>
    </row>
    <row r="29" spans="2:3" ht="147" customHeight="1" x14ac:dyDescent="0.25">
      <c r="B29" s="103" t="s">
        <v>410</v>
      </c>
      <c r="C29" s="104"/>
    </row>
  </sheetData>
  <mergeCells count="7">
    <mergeCell ref="B29:C29"/>
    <mergeCell ref="B27:C27"/>
    <mergeCell ref="B26:C26"/>
    <mergeCell ref="B2:E2"/>
    <mergeCell ref="B24:C24"/>
    <mergeCell ref="B25:C25"/>
    <mergeCell ref="B16:C23"/>
  </mergeCells>
  <hyperlinks>
    <hyperlink ref="B24" location="'Ons. wind DE capacity factor'!A1" display="Onshore wind in Germany - capacity factor" xr:uid="{B1EBDE16-5188-406D-8082-1790B1963259}"/>
    <hyperlink ref="B26" location="'CAPEX H2 transmissions'!A1" display="CAPEX of hydrogen transmissions" xr:uid="{6BC0E6BA-441B-4201-8294-AA188902FC04}"/>
    <hyperlink ref="B25" location="'Commodity price - natural gas'!A1" display="Commodity price - natural gas" xr:uid="{601EFEB6-2179-4179-BB1A-725BDDEFD293}"/>
    <hyperlink ref="B27" location="'CAPEX H2 transmissions'!A1" display="CAPEX of hydrogen transmissions" xr:uid="{E0D166BD-1F0D-4B59-9A65-0F9B6F3C3D1C}"/>
    <hyperlink ref="B27:C27" location="'Electrolysers efficiency'!A1" display="Electrolysis efficiency" xr:uid="{2A981E63-0B0C-4164-9CA6-09AB827C84EF}"/>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372EA-71AB-4768-8A61-317A71472E2F}">
  <sheetPr codeName="Feuil3"/>
  <dimension ref="A1:AO101"/>
  <sheetViews>
    <sheetView zoomScale="85" zoomScaleNormal="85" workbookViewId="0">
      <pane xSplit="6" ySplit="4" topLeftCell="G5" activePane="bottomRight" state="frozen"/>
      <selection pane="topRight" activeCell="D1" sqref="D1"/>
      <selection pane="bottomLeft" activeCell="A3" sqref="A3"/>
      <selection pane="bottomRight" activeCell="Z11" sqref="Z11"/>
    </sheetView>
  </sheetViews>
  <sheetFormatPr defaultColWidth="11.42578125" defaultRowHeight="15" x14ac:dyDescent="0.25"/>
  <cols>
    <col min="1" max="1" width="12.140625" customWidth="1"/>
    <col min="2" max="2" width="27" style="17" customWidth="1"/>
    <col min="3" max="3" width="13.5703125" style="17" customWidth="1"/>
    <col min="4" max="4" width="33" style="17" bestFit="1" customWidth="1"/>
    <col min="5" max="5" width="0.140625" style="17" customWidth="1"/>
    <col min="6" max="6" width="11.28515625" customWidth="1"/>
    <col min="7" max="7" width="39.7109375" customWidth="1"/>
    <col min="8" max="8" width="32" style="10" customWidth="1"/>
    <col min="9" max="9" width="6" style="53" customWidth="1"/>
    <col min="10" max="10" width="12" customWidth="1"/>
    <col min="11" max="11" width="9.85546875" customWidth="1"/>
    <col min="12" max="12" width="11.7109375" customWidth="1"/>
    <col min="13" max="13" width="9.7109375" customWidth="1"/>
    <col min="14" max="14" width="6.7109375" customWidth="1"/>
    <col min="15" max="15" width="4.42578125" customWidth="1"/>
    <col min="16" max="16" width="5.85546875" customWidth="1"/>
    <col min="17" max="17" width="8.28515625" customWidth="1"/>
    <col min="18" max="19" width="13.28515625" customWidth="1"/>
    <col min="20" max="20" width="9.28515625" customWidth="1"/>
    <col min="21" max="21" width="19.7109375" customWidth="1"/>
    <col min="22" max="22" width="11.7109375" customWidth="1"/>
    <col min="23" max="23" width="22.140625" customWidth="1"/>
    <col min="24" max="63" width="15.7109375" customWidth="1"/>
  </cols>
  <sheetData>
    <row r="1" spans="1:24" ht="21" x14ac:dyDescent="0.35">
      <c r="A1" s="39" t="s">
        <v>409</v>
      </c>
    </row>
    <row r="2" spans="1:24" ht="40.9" customHeight="1" x14ac:dyDescent="0.25">
      <c r="W2" s="147" t="s">
        <v>380</v>
      </c>
    </row>
    <row r="3" spans="1:24" s="90" customFormat="1" ht="14.45" customHeight="1" x14ac:dyDescent="0.25">
      <c r="B3" s="91"/>
      <c r="C3" s="91"/>
      <c r="D3" s="91"/>
      <c r="E3" s="91"/>
      <c r="I3" s="92"/>
      <c r="J3" s="148" t="s">
        <v>381</v>
      </c>
      <c r="K3" s="148"/>
      <c r="L3" s="148"/>
      <c r="M3" s="148"/>
      <c r="N3" s="148"/>
      <c r="O3" s="148"/>
      <c r="P3" s="151" t="s">
        <v>382</v>
      </c>
      <c r="Q3" s="151"/>
      <c r="V3" s="90" t="s">
        <v>400</v>
      </c>
      <c r="W3" s="148"/>
    </row>
    <row r="4" spans="1:24" ht="60" x14ac:dyDescent="0.25">
      <c r="A4" s="24" t="s">
        <v>14</v>
      </c>
      <c r="B4" s="152" t="s">
        <v>15</v>
      </c>
      <c r="C4" s="153"/>
      <c r="D4" s="47" t="s">
        <v>16</v>
      </c>
      <c r="E4" s="47" t="s">
        <v>17</v>
      </c>
      <c r="F4" s="24" t="s">
        <v>18</v>
      </c>
      <c r="G4" s="25" t="s">
        <v>19</v>
      </c>
      <c r="H4" s="25" t="s">
        <v>245</v>
      </c>
      <c r="I4" s="54" t="s">
        <v>20</v>
      </c>
      <c r="J4" s="24" t="s">
        <v>411</v>
      </c>
      <c r="K4" s="24" t="s">
        <v>21</v>
      </c>
      <c r="L4" s="24" t="s">
        <v>22</v>
      </c>
      <c r="M4" s="24" t="s">
        <v>23</v>
      </c>
      <c r="N4" s="25" t="s">
        <v>25</v>
      </c>
      <c r="O4" s="149" t="s">
        <v>24</v>
      </c>
      <c r="P4" s="150"/>
      <c r="Q4" s="25" t="s">
        <v>376</v>
      </c>
      <c r="R4" s="25" t="s">
        <v>377</v>
      </c>
      <c r="S4" s="25" t="s">
        <v>378</v>
      </c>
      <c r="T4" s="25" t="s">
        <v>379</v>
      </c>
      <c r="U4" s="25" t="s">
        <v>26</v>
      </c>
      <c r="V4" s="25" t="s">
        <v>27</v>
      </c>
      <c r="W4" s="25" t="s">
        <v>28</v>
      </c>
      <c r="X4" s="15"/>
    </row>
    <row r="5" spans="1:24" ht="90" x14ac:dyDescent="0.25">
      <c r="A5" s="112" t="s">
        <v>29</v>
      </c>
      <c r="B5" s="129" t="s">
        <v>30</v>
      </c>
      <c r="C5" s="130"/>
      <c r="D5" s="48" t="str">
        <f t="shared" ref="D5:D13" si="0">IF(ISBLANK(A5), "", IF(ISBLANK(A6), A5, " "))</f>
        <v>Copernicus</v>
      </c>
      <c r="E5" s="48" t="str">
        <f t="shared" ref="E5:E28" si="1">_xlfn.CONCAT(IF(D5=" ", _xlfn.CONCAT(A5, " - ", IF(ISBLANK(L5),B5,B5&amp;" - for "&amp;L5)), IF(ISBLANK(L5),B5,B5&amp;" - for "&amp;L5)),IF(ISBLANK(C5), "", _xlfn.CONCAT(" (",C5,")")))</f>
        <v>PECD 3.1 (TYNDP 2024) - average of climate years 1982 to 2019 - for 2030-2040</v>
      </c>
      <c r="F5" s="38">
        <v>0.24959999999999999</v>
      </c>
      <c r="G5" s="46" t="s">
        <v>31</v>
      </c>
      <c r="H5" s="32" t="s">
        <v>412</v>
      </c>
      <c r="I5" s="55" t="s">
        <v>32</v>
      </c>
      <c r="J5" s="40" t="s">
        <v>413</v>
      </c>
      <c r="K5" s="40" t="s">
        <v>33</v>
      </c>
      <c r="L5" s="40" t="s">
        <v>34</v>
      </c>
      <c r="M5" s="40" t="s">
        <v>35</v>
      </c>
      <c r="N5" s="13" t="s">
        <v>36</v>
      </c>
      <c r="O5" s="129">
        <v>2024</v>
      </c>
      <c r="P5" s="130"/>
      <c r="Q5" s="13" t="s">
        <v>36</v>
      </c>
      <c r="R5" s="13">
        <v>4</v>
      </c>
      <c r="S5" s="14" t="s">
        <v>383</v>
      </c>
      <c r="T5" s="13">
        <v>4</v>
      </c>
      <c r="U5" s="13"/>
      <c r="V5" s="13" t="s">
        <v>36</v>
      </c>
      <c r="W5" s="13"/>
      <c r="X5" s="16"/>
    </row>
    <row r="6" spans="1:24" ht="75" x14ac:dyDescent="0.25">
      <c r="A6" s="113"/>
      <c r="B6" s="129" t="s">
        <v>37</v>
      </c>
      <c r="C6" s="130"/>
      <c r="D6" s="48" t="str">
        <f t="shared" si="0"/>
        <v/>
      </c>
      <c r="E6" s="48" t="str">
        <f t="shared" si="1"/>
        <v>PECD 3.1 (TYNDP 2024) - climate years 2009 - for 2030-2040</v>
      </c>
      <c r="F6" s="38">
        <v>0.23860000000000001</v>
      </c>
      <c r="G6" s="32" t="s">
        <v>38</v>
      </c>
      <c r="H6" s="32" t="s">
        <v>412</v>
      </c>
      <c r="I6" s="55" t="s">
        <v>32</v>
      </c>
      <c r="J6" s="40" t="s">
        <v>413</v>
      </c>
      <c r="K6" s="40" t="s">
        <v>33</v>
      </c>
      <c r="L6" s="40" t="s">
        <v>34</v>
      </c>
      <c r="M6" s="40" t="s">
        <v>35</v>
      </c>
      <c r="N6" s="13" t="s">
        <v>36</v>
      </c>
      <c r="O6" s="129">
        <v>2024</v>
      </c>
      <c r="P6" s="130"/>
      <c r="Q6" s="13" t="s">
        <v>36</v>
      </c>
      <c r="R6" s="13">
        <v>4</v>
      </c>
      <c r="S6" s="14" t="s">
        <v>383</v>
      </c>
      <c r="T6" s="13">
        <v>3</v>
      </c>
      <c r="U6" s="13" t="s">
        <v>39</v>
      </c>
      <c r="V6" s="13" t="s">
        <v>36</v>
      </c>
      <c r="W6" s="13"/>
      <c r="X6" s="16"/>
    </row>
    <row r="7" spans="1:24" ht="39" customHeight="1" x14ac:dyDescent="0.25">
      <c r="A7" s="113"/>
      <c r="B7" s="157" t="s">
        <v>40</v>
      </c>
      <c r="C7" s="158"/>
      <c r="D7" s="48" t="str">
        <f t="shared" si="0"/>
        <v/>
      </c>
      <c r="E7" s="48" t="str">
        <f t="shared" si="1"/>
        <v>PECD 4 (ERAA 2024) - for 2035</v>
      </c>
      <c r="F7" s="38">
        <v>0.25240000000000001</v>
      </c>
      <c r="G7" s="154" t="s">
        <v>41</v>
      </c>
      <c r="H7" s="154" t="s">
        <v>414</v>
      </c>
      <c r="I7" s="131" t="s">
        <v>42</v>
      </c>
      <c r="J7" s="40" t="s">
        <v>413</v>
      </c>
      <c r="K7" s="40" t="s">
        <v>33</v>
      </c>
      <c r="L7" s="40" t="s">
        <v>43</v>
      </c>
      <c r="M7" s="40" t="s">
        <v>35</v>
      </c>
      <c r="N7" s="13" t="s">
        <v>36</v>
      </c>
      <c r="O7" s="129">
        <v>2024</v>
      </c>
      <c r="P7" s="130"/>
      <c r="Q7" s="13" t="s">
        <v>36</v>
      </c>
      <c r="R7" s="13">
        <v>4</v>
      </c>
      <c r="S7" s="120" t="s">
        <v>383</v>
      </c>
      <c r="T7" s="13">
        <v>4</v>
      </c>
      <c r="U7" s="13"/>
      <c r="V7" s="13" t="s">
        <v>36</v>
      </c>
      <c r="W7" s="13"/>
      <c r="X7" s="16"/>
    </row>
    <row r="8" spans="1:24" ht="39" customHeight="1" x14ac:dyDescent="0.25">
      <c r="A8" s="113"/>
      <c r="B8" s="157" t="s">
        <v>40</v>
      </c>
      <c r="C8" s="158"/>
      <c r="D8" s="48" t="str">
        <f t="shared" si="0"/>
        <v/>
      </c>
      <c r="E8" s="48" t="str">
        <f t="shared" si="1"/>
        <v>PECD 4 (ERAA 2024) - for 2030</v>
      </c>
      <c r="F8" s="38">
        <v>0.2349</v>
      </c>
      <c r="G8" s="155"/>
      <c r="H8" s="155"/>
      <c r="I8" s="132"/>
      <c r="J8" s="40" t="s">
        <v>413</v>
      </c>
      <c r="K8" s="40" t="s">
        <v>33</v>
      </c>
      <c r="L8" s="40" t="s">
        <v>44</v>
      </c>
      <c r="M8" s="40" t="s">
        <v>35</v>
      </c>
      <c r="N8" s="13" t="s">
        <v>36</v>
      </c>
      <c r="O8" s="129">
        <v>2024</v>
      </c>
      <c r="P8" s="130"/>
      <c r="Q8" s="13" t="s">
        <v>36</v>
      </c>
      <c r="R8" s="13">
        <v>4</v>
      </c>
      <c r="S8" s="160"/>
      <c r="T8" s="13">
        <v>4</v>
      </c>
      <c r="U8" s="13"/>
      <c r="V8" s="13" t="s">
        <v>36</v>
      </c>
      <c r="W8" s="13"/>
      <c r="X8" s="16"/>
    </row>
    <row r="9" spans="1:24" ht="39" customHeight="1" x14ac:dyDescent="0.25">
      <c r="A9" s="113"/>
      <c r="B9" s="157" t="s">
        <v>40</v>
      </c>
      <c r="C9" s="158"/>
      <c r="D9" s="48" t="str">
        <f t="shared" si="0"/>
        <v/>
      </c>
      <c r="E9" s="48" t="str">
        <f t="shared" si="1"/>
        <v>PECD 4 (ERAA 2024) - for 2028</v>
      </c>
      <c r="F9" s="38">
        <v>0.22520000000000001</v>
      </c>
      <c r="G9" s="155"/>
      <c r="H9" s="155"/>
      <c r="I9" s="132"/>
      <c r="J9" s="40" t="s">
        <v>413</v>
      </c>
      <c r="K9" s="40" t="s">
        <v>33</v>
      </c>
      <c r="L9" s="40" t="s">
        <v>45</v>
      </c>
      <c r="M9" s="40" t="s">
        <v>35</v>
      </c>
      <c r="N9" s="13" t="s">
        <v>36</v>
      </c>
      <c r="O9" s="129">
        <v>2024</v>
      </c>
      <c r="P9" s="130"/>
      <c r="Q9" s="13" t="s">
        <v>36</v>
      </c>
      <c r="R9" s="13">
        <v>4</v>
      </c>
      <c r="S9" s="160"/>
      <c r="T9" s="13">
        <v>4</v>
      </c>
      <c r="U9" s="13"/>
      <c r="V9" s="13" t="s">
        <v>36</v>
      </c>
      <c r="W9" s="13"/>
      <c r="X9" s="16"/>
    </row>
    <row r="10" spans="1:24" ht="39" customHeight="1" x14ac:dyDescent="0.25">
      <c r="A10" s="113"/>
      <c r="B10" s="157" t="s">
        <v>40</v>
      </c>
      <c r="C10" s="158"/>
      <c r="D10" s="48" t="str">
        <f t="shared" si="0"/>
        <v/>
      </c>
      <c r="E10" s="48" t="str">
        <f t="shared" si="1"/>
        <v>PECD 4 (ERAA 2024) - for 2026</v>
      </c>
      <c r="F10" s="38">
        <v>0.2266</v>
      </c>
      <c r="G10" s="156"/>
      <c r="H10" s="156"/>
      <c r="I10" s="133"/>
      <c r="J10" s="40" t="s">
        <v>413</v>
      </c>
      <c r="K10" s="40" t="s">
        <v>33</v>
      </c>
      <c r="L10" s="52" t="s">
        <v>46</v>
      </c>
      <c r="M10" s="40" t="s">
        <v>35</v>
      </c>
      <c r="N10" s="13" t="s">
        <v>36</v>
      </c>
      <c r="O10" s="129">
        <v>2024</v>
      </c>
      <c r="P10" s="130"/>
      <c r="Q10" s="13" t="s">
        <v>36</v>
      </c>
      <c r="R10" s="13">
        <v>4</v>
      </c>
      <c r="S10" s="121"/>
      <c r="T10" s="13">
        <v>4</v>
      </c>
      <c r="U10" s="33"/>
      <c r="V10" s="13" t="s">
        <v>36</v>
      </c>
      <c r="W10" s="33"/>
      <c r="X10" s="16"/>
    </row>
    <row r="11" spans="1:24" ht="240" x14ac:dyDescent="0.25">
      <c r="A11" s="18" t="s">
        <v>47</v>
      </c>
      <c r="B11" s="134" t="s">
        <v>48</v>
      </c>
      <c r="C11" s="135"/>
      <c r="D11" s="48" t="str">
        <f>IF(ISBLANK(A11), "", IF(ISBLANK(A13), A11, " "))</f>
        <v xml:space="preserve"> </v>
      </c>
      <c r="E11" s="48" t="str">
        <f t="shared" si="1"/>
        <v>German Federal Ministry For Economic Affaires - German NECP - for 2030</v>
      </c>
      <c r="F11" s="36">
        <v>0.21</v>
      </c>
      <c r="G11" s="13" t="s">
        <v>389</v>
      </c>
      <c r="H11" s="13" t="s">
        <v>393</v>
      </c>
      <c r="I11" s="56" t="s">
        <v>49</v>
      </c>
      <c r="J11" s="20" t="s">
        <v>50</v>
      </c>
      <c r="K11" s="40" t="s">
        <v>33</v>
      </c>
      <c r="L11" s="41">
        <v>2030</v>
      </c>
      <c r="M11" s="40" t="s">
        <v>35</v>
      </c>
      <c r="N11" s="13" t="s">
        <v>36</v>
      </c>
      <c r="O11" s="134">
        <v>2024</v>
      </c>
      <c r="P11" s="135"/>
      <c r="Q11" s="13" t="s">
        <v>36</v>
      </c>
      <c r="R11" s="13">
        <v>4</v>
      </c>
      <c r="S11" s="13" t="s">
        <v>384</v>
      </c>
      <c r="T11" s="13">
        <v>2</v>
      </c>
      <c r="U11" s="13" t="s">
        <v>390</v>
      </c>
      <c r="V11" s="13" t="s">
        <v>36</v>
      </c>
      <c r="W11" s="13">
        <f ca="1">IF(OR(YEAR(TODAY())-O11&gt;6,Q11="No", V11="No"),0,R11+2*T11)</f>
        <v>8</v>
      </c>
      <c r="X11" s="16"/>
    </row>
    <row r="12" spans="1:24" ht="105" x14ac:dyDescent="0.25">
      <c r="A12" s="51" t="s">
        <v>51</v>
      </c>
      <c r="B12" s="134" t="s">
        <v>52</v>
      </c>
      <c r="C12" s="135"/>
      <c r="D12" s="48" t="str">
        <f>IF(ISBLANK(A12), "", IF(ISBLANK(A25), A12, " "))</f>
        <v xml:space="preserve"> </v>
      </c>
      <c r="E12" s="48" t="str">
        <f t="shared" ref="E12" si="2">_xlfn.CONCAT(IF(D12=" ", _xlfn.CONCAT(A12, " - ", IF(ISBLANK(L12),B12,B12&amp;" - for "&amp;L12)), IF(ISBLANK(L12),B12,B12&amp;" - for "&amp;L12)),IF(ISBLANK(C12), "", _xlfn.CONCAT(" (",C12,")")))</f>
        <v>EC Impact Assessment (2020) - Progress on competitiveness of clean energy technologies 2 &amp; 3 - Wind Power - for 2030</v>
      </c>
      <c r="F12" s="59">
        <v>0.26400000000000001</v>
      </c>
      <c r="G12" s="29" t="s">
        <v>415</v>
      </c>
      <c r="H12" s="29" t="s">
        <v>395</v>
      </c>
      <c r="I12" s="58" t="s">
        <v>53</v>
      </c>
      <c r="J12" s="101" t="s">
        <v>54</v>
      </c>
      <c r="K12" s="50" t="s">
        <v>33</v>
      </c>
      <c r="L12" s="41" t="s">
        <v>44</v>
      </c>
      <c r="M12" s="101" t="s">
        <v>55</v>
      </c>
      <c r="N12" s="13" t="s">
        <v>36</v>
      </c>
      <c r="O12" s="134">
        <v>2021</v>
      </c>
      <c r="P12" s="135"/>
      <c r="Q12" s="13" t="s">
        <v>36</v>
      </c>
      <c r="R12" s="13">
        <v>4</v>
      </c>
      <c r="S12" s="13" t="s">
        <v>384</v>
      </c>
      <c r="T12" s="13">
        <v>3</v>
      </c>
      <c r="U12" s="29" t="s">
        <v>416</v>
      </c>
      <c r="V12" s="13" t="s">
        <v>36</v>
      </c>
      <c r="W12" s="13">
        <f t="shared" ref="W12:W28" ca="1" si="3">IF(OR(YEAR(TODAY())-O12&gt;6,Q12="No", V12="No"),0,R12+2*T12)</f>
        <v>10</v>
      </c>
      <c r="X12" s="16"/>
    </row>
    <row r="13" spans="1:24" ht="135" x14ac:dyDescent="0.25">
      <c r="A13" s="124" t="s">
        <v>57</v>
      </c>
      <c r="B13" s="126" t="s">
        <v>422</v>
      </c>
      <c r="C13" s="127"/>
      <c r="D13" s="48" t="str">
        <f t="shared" si="0"/>
        <v>ENTSO-E</v>
      </c>
      <c r="E13" s="48" t="str">
        <f t="shared" si="1"/>
        <v>Power Statistics of 2020 to 2024 - for 2020-2024</v>
      </c>
      <c r="F13" s="36">
        <v>0.21299999999999999</v>
      </c>
      <c r="G13" s="13" t="s">
        <v>58</v>
      </c>
      <c r="H13" s="13" t="s">
        <v>61</v>
      </c>
      <c r="I13" s="122" t="s">
        <v>59</v>
      </c>
      <c r="J13" s="118" t="s">
        <v>50</v>
      </c>
      <c r="K13" s="116" t="s">
        <v>33</v>
      </c>
      <c r="L13" s="118" t="s">
        <v>60</v>
      </c>
      <c r="M13" s="116" t="s">
        <v>35</v>
      </c>
      <c r="N13" s="120" t="s">
        <v>36</v>
      </c>
      <c r="O13" s="134">
        <v>2025</v>
      </c>
      <c r="P13" s="135"/>
      <c r="Q13" s="13" t="s">
        <v>36</v>
      </c>
      <c r="R13" s="13">
        <v>4</v>
      </c>
      <c r="S13" s="13" t="s">
        <v>385</v>
      </c>
      <c r="T13" s="13">
        <v>2</v>
      </c>
      <c r="U13" s="13" t="s">
        <v>61</v>
      </c>
      <c r="V13" s="13" t="s">
        <v>36</v>
      </c>
      <c r="W13" s="13">
        <f t="shared" ca="1" si="3"/>
        <v>8</v>
      </c>
      <c r="X13" s="16"/>
    </row>
    <row r="14" spans="1:24" ht="60" x14ac:dyDescent="0.25">
      <c r="A14" s="125"/>
      <c r="B14" s="126" t="s">
        <v>62</v>
      </c>
      <c r="C14" s="127"/>
      <c r="D14" s="48" t="str">
        <f t="shared" ref="D14:D28" si="4">IF(ISBLANK(A14), "", IF(ISBLANK(A15), A14, " "))</f>
        <v/>
      </c>
      <c r="E14" s="48" t="str">
        <f t="shared" si="1"/>
        <v>Statistical Factsheet 2024</v>
      </c>
      <c r="F14" s="36">
        <v>0.21327446195126368</v>
      </c>
      <c r="G14" s="13" t="s">
        <v>63</v>
      </c>
      <c r="H14" s="13" t="s">
        <v>61</v>
      </c>
      <c r="I14" s="123"/>
      <c r="J14" s="119"/>
      <c r="K14" s="117"/>
      <c r="L14" s="119"/>
      <c r="M14" s="117"/>
      <c r="N14" s="121"/>
      <c r="O14" s="134">
        <v>2025</v>
      </c>
      <c r="P14" s="135"/>
      <c r="Q14" s="13" t="s">
        <v>36</v>
      </c>
      <c r="R14" s="13">
        <v>4</v>
      </c>
      <c r="S14" s="13" t="s">
        <v>385</v>
      </c>
      <c r="T14" s="13">
        <v>1</v>
      </c>
      <c r="U14" s="13" t="s">
        <v>64</v>
      </c>
      <c r="V14" s="13" t="s">
        <v>36</v>
      </c>
      <c r="W14" s="13">
        <f t="shared" ca="1" si="3"/>
        <v>6</v>
      </c>
      <c r="X14" s="16"/>
    </row>
    <row r="15" spans="1:24" ht="135" x14ac:dyDescent="0.25">
      <c r="A15" s="124" t="s">
        <v>65</v>
      </c>
      <c r="B15" s="126" t="s">
        <v>66</v>
      </c>
      <c r="C15" s="127"/>
      <c r="D15" s="48" t="str">
        <f t="shared" si="4"/>
        <v>Deutsche WindGuard</v>
      </c>
      <c r="E15" s="48" t="str">
        <f t="shared" si="1"/>
        <v>Status des Windenergieausbaus an Land in Deutschland, Jahr 2024 - for 2024</v>
      </c>
      <c r="F15" s="36">
        <v>0.20100000000000001</v>
      </c>
      <c r="G15" s="13" t="s">
        <v>67</v>
      </c>
      <c r="H15" s="33" t="s">
        <v>68</v>
      </c>
      <c r="I15" s="56" t="s">
        <v>69</v>
      </c>
      <c r="J15" s="20" t="s">
        <v>50</v>
      </c>
      <c r="K15" s="40" t="s">
        <v>33</v>
      </c>
      <c r="L15" s="64">
        <v>2024</v>
      </c>
      <c r="M15" s="40" t="s">
        <v>35</v>
      </c>
      <c r="N15" s="13" t="s">
        <v>36</v>
      </c>
      <c r="O15" s="134">
        <v>2025</v>
      </c>
      <c r="P15" s="135"/>
      <c r="Q15" s="13" t="s">
        <v>70</v>
      </c>
      <c r="R15" s="13">
        <v>3</v>
      </c>
      <c r="S15" s="13" t="s">
        <v>386</v>
      </c>
      <c r="T15" s="13">
        <v>1</v>
      </c>
      <c r="U15" s="13" t="s">
        <v>64</v>
      </c>
      <c r="V15" s="13" t="s">
        <v>36</v>
      </c>
      <c r="W15" s="13">
        <f t="shared" ca="1" si="3"/>
        <v>0</v>
      </c>
      <c r="X15" s="16"/>
    </row>
    <row r="16" spans="1:24" ht="14.45" customHeight="1" x14ac:dyDescent="0.25">
      <c r="A16" s="128"/>
      <c r="B16" s="145" t="s">
        <v>71</v>
      </c>
      <c r="C16" s="33" t="s">
        <v>72</v>
      </c>
      <c r="D16" s="48" t="str">
        <f t="shared" si="4"/>
        <v/>
      </c>
      <c r="E16" s="48" t="str">
        <f t="shared" si="1"/>
        <v>Report: full load hours of on-land wind turbines - development, influences, impacts - for New built in 2030 (lower bound)</v>
      </c>
      <c r="F16" s="28">
        <f>2460/8760</f>
        <v>0.28082191780821919</v>
      </c>
      <c r="G16" s="120" t="s">
        <v>417</v>
      </c>
      <c r="H16" s="120" t="s">
        <v>418</v>
      </c>
      <c r="I16" s="136" t="s">
        <v>73</v>
      </c>
      <c r="J16" s="116" t="s">
        <v>413</v>
      </c>
      <c r="K16" s="116" t="s">
        <v>33</v>
      </c>
      <c r="L16" s="114" t="s">
        <v>74</v>
      </c>
      <c r="M16" s="116" t="s">
        <v>35</v>
      </c>
      <c r="N16" s="120" t="s">
        <v>36</v>
      </c>
      <c r="O16" s="141">
        <v>2020</v>
      </c>
      <c r="P16" s="159"/>
      <c r="Q16" s="13" t="s">
        <v>36</v>
      </c>
      <c r="R16" s="13">
        <v>3</v>
      </c>
      <c r="S16" s="120" t="s">
        <v>386</v>
      </c>
      <c r="T16" s="13">
        <v>3</v>
      </c>
      <c r="U16" s="120" t="s">
        <v>75</v>
      </c>
      <c r="V16" s="13" t="s">
        <v>36</v>
      </c>
      <c r="W16" s="13">
        <f t="shared" ca="1" si="3"/>
        <v>9</v>
      </c>
      <c r="X16" s="16"/>
    </row>
    <row r="17" spans="1:24" x14ac:dyDescent="0.25">
      <c r="A17" s="128"/>
      <c r="B17" s="146"/>
      <c r="C17" s="13" t="s">
        <v>76</v>
      </c>
      <c r="D17" s="48" t="str">
        <f t="shared" si="4"/>
        <v/>
      </c>
      <c r="E17" s="48" t="str">
        <f t="shared" si="1"/>
        <v xml:space="preserve"> (higher bound)</v>
      </c>
      <c r="F17" s="28">
        <f>2950/8760</f>
        <v>0.3367579908675799</v>
      </c>
      <c r="G17" s="121"/>
      <c r="H17" s="121"/>
      <c r="I17" s="123"/>
      <c r="J17" s="117"/>
      <c r="K17" s="117"/>
      <c r="L17" s="115"/>
      <c r="M17" s="117"/>
      <c r="N17" s="121"/>
      <c r="O17" s="141">
        <v>2020</v>
      </c>
      <c r="P17" s="159"/>
      <c r="Q17" s="13" t="s">
        <v>36</v>
      </c>
      <c r="R17" s="13">
        <v>3</v>
      </c>
      <c r="S17" s="121"/>
      <c r="T17" s="13">
        <v>3</v>
      </c>
      <c r="U17" s="121"/>
      <c r="V17" s="13" t="s">
        <v>36</v>
      </c>
      <c r="W17" s="13">
        <f t="shared" ca="1" si="3"/>
        <v>9</v>
      </c>
      <c r="X17" s="16"/>
    </row>
    <row r="18" spans="1:24" ht="60" x14ac:dyDescent="0.25">
      <c r="A18" s="37" t="s">
        <v>77</v>
      </c>
      <c r="B18" s="143" t="s">
        <v>78</v>
      </c>
      <c r="C18" s="144"/>
      <c r="D18" s="48" t="str">
        <f t="shared" si="4"/>
        <v xml:space="preserve"> </v>
      </c>
      <c r="E18" s="48" t="str">
        <f t="shared" si="1"/>
        <v>Bundesnetzagentur - Publication on 2024 electricity market data - for 2024</v>
      </c>
      <c r="F18" s="36">
        <v>0.20116492287779097</v>
      </c>
      <c r="G18" s="13" t="s">
        <v>79</v>
      </c>
      <c r="H18" s="13" t="s">
        <v>61</v>
      </c>
      <c r="I18" s="56" t="s">
        <v>80</v>
      </c>
      <c r="J18" s="20" t="s">
        <v>50</v>
      </c>
      <c r="K18" s="40" t="s">
        <v>33</v>
      </c>
      <c r="L18" s="64">
        <v>2024</v>
      </c>
      <c r="M18" s="40" t="s">
        <v>35</v>
      </c>
      <c r="N18" s="13" t="s">
        <v>36</v>
      </c>
      <c r="O18" s="134">
        <v>2024</v>
      </c>
      <c r="P18" s="135"/>
      <c r="Q18" s="13" t="s">
        <v>36</v>
      </c>
      <c r="R18" s="13">
        <v>4</v>
      </c>
      <c r="S18" s="13" t="s">
        <v>384</v>
      </c>
      <c r="T18" s="13">
        <v>1</v>
      </c>
      <c r="U18" s="13" t="s">
        <v>64</v>
      </c>
      <c r="V18" s="13" t="s">
        <v>36</v>
      </c>
      <c r="W18" s="13">
        <f t="shared" ca="1" si="3"/>
        <v>6</v>
      </c>
      <c r="X18" s="16"/>
    </row>
    <row r="19" spans="1:24" ht="180" x14ac:dyDescent="0.25">
      <c r="A19" s="124" t="s">
        <v>81</v>
      </c>
      <c r="B19" s="134" t="s">
        <v>82</v>
      </c>
      <c r="C19" s="135"/>
      <c r="D19" s="48" t="str">
        <f t="shared" si="4"/>
        <v>JRC</v>
      </c>
      <c r="E19" s="48" t="str">
        <f t="shared" si="1"/>
        <v>ENSPRESO 2 - for New built in 2030</v>
      </c>
      <c r="F19" s="36" t="s">
        <v>83</v>
      </c>
      <c r="G19" s="13" t="s">
        <v>84</v>
      </c>
      <c r="H19" s="120" t="s">
        <v>419</v>
      </c>
      <c r="I19" s="56" t="s">
        <v>85</v>
      </c>
      <c r="J19" s="40" t="s">
        <v>413</v>
      </c>
      <c r="K19" s="40" t="s">
        <v>33</v>
      </c>
      <c r="L19" s="99" t="s">
        <v>74</v>
      </c>
      <c r="M19" s="40" t="s">
        <v>35</v>
      </c>
      <c r="N19" s="13" t="s">
        <v>70</v>
      </c>
      <c r="O19" s="134">
        <v>2025</v>
      </c>
      <c r="P19" s="135"/>
      <c r="Q19" s="13" t="s">
        <v>36</v>
      </c>
      <c r="R19" s="13">
        <v>4</v>
      </c>
      <c r="S19" s="13" t="s">
        <v>383</v>
      </c>
      <c r="T19" s="13">
        <v>4</v>
      </c>
      <c r="U19" s="13"/>
      <c r="V19" s="13" t="s">
        <v>70</v>
      </c>
      <c r="W19" s="13">
        <f ca="1">IF(OR(YEAR(TODAY())-O19&gt;6,Q19="No", V19="No"),0,R19+2*T19)</f>
        <v>0</v>
      </c>
      <c r="X19" s="16"/>
    </row>
    <row r="20" spans="1:24" ht="180" x14ac:dyDescent="0.25">
      <c r="A20" s="125"/>
      <c r="B20" s="13" t="s">
        <v>86</v>
      </c>
      <c r="C20" s="13" t="s">
        <v>87</v>
      </c>
      <c r="D20" s="48" t="str">
        <f t="shared" si="4"/>
        <v/>
      </c>
      <c r="E20" s="48" t="str">
        <f t="shared" si="1"/>
        <v>ENSPRESO 1 - for 2030 (Artelys' estimate of the upper bound)</v>
      </c>
      <c r="F20" s="26">
        <v>0.24</v>
      </c>
      <c r="G20" s="13" t="s">
        <v>420</v>
      </c>
      <c r="H20" s="121"/>
      <c r="I20" s="56" t="s">
        <v>88</v>
      </c>
      <c r="J20" s="40" t="s">
        <v>413</v>
      </c>
      <c r="K20" s="40" t="s">
        <v>33</v>
      </c>
      <c r="L20" s="41" t="s">
        <v>44</v>
      </c>
      <c r="M20" s="40" t="s">
        <v>35</v>
      </c>
      <c r="N20" s="13" t="s">
        <v>36</v>
      </c>
      <c r="O20" s="134">
        <v>2019</v>
      </c>
      <c r="P20" s="135"/>
      <c r="Q20" s="13" t="s">
        <v>36</v>
      </c>
      <c r="R20" s="13">
        <v>4</v>
      </c>
      <c r="S20" s="13" t="s">
        <v>383</v>
      </c>
      <c r="T20" s="13">
        <v>2</v>
      </c>
      <c r="U20" s="13" t="s">
        <v>394</v>
      </c>
      <c r="V20" s="13" t="s">
        <v>36</v>
      </c>
      <c r="W20" s="13">
        <f t="shared" ca="1" si="3"/>
        <v>8</v>
      </c>
      <c r="X20" s="16"/>
    </row>
    <row r="21" spans="1:24" ht="45" x14ac:dyDescent="0.25">
      <c r="A21" s="124" t="s">
        <v>421</v>
      </c>
      <c r="B21" s="134" t="s">
        <v>89</v>
      </c>
      <c r="C21" s="135"/>
      <c r="D21" s="48" t="str">
        <f t="shared" si="4"/>
        <v>WindEurope Wind energy in Europe</v>
      </c>
      <c r="E21" s="48" t="str">
        <f t="shared" si="1"/>
        <v>2022 Statistics and the outlook for 2023-2027 - for New built in 2030</v>
      </c>
      <c r="F21" s="26">
        <v>0.35</v>
      </c>
      <c r="G21" s="120" t="s">
        <v>90</v>
      </c>
      <c r="H21" s="13"/>
      <c r="I21" s="137" t="s">
        <v>91</v>
      </c>
      <c r="J21" s="99" t="s">
        <v>54</v>
      </c>
      <c r="K21" s="40" t="s">
        <v>33</v>
      </c>
      <c r="L21" s="99" t="s">
        <v>74</v>
      </c>
      <c r="M21" s="99" t="s">
        <v>55</v>
      </c>
      <c r="N21" s="13" t="s">
        <v>36</v>
      </c>
      <c r="O21" s="134">
        <v>2022</v>
      </c>
      <c r="P21" s="135"/>
      <c r="Q21" s="13" t="s">
        <v>36</v>
      </c>
      <c r="R21" s="13">
        <v>3</v>
      </c>
      <c r="S21" s="13" t="s">
        <v>386</v>
      </c>
      <c r="T21" s="13">
        <v>1</v>
      </c>
      <c r="U21" s="13" t="s">
        <v>391</v>
      </c>
      <c r="V21" s="13" t="s">
        <v>70</v>
      </c>
      <c r="W21" s="13">
        <f t="shared" ca="1" si="3"/>
        <v>0</v>
      </c>
      <c r="X21" s="16"/>
    </row>
    <row r="22" spans="1:24" ht="45" x14ac:dyDescent="0.25">
      <c r="A22" s="128"/>
      <c r="B22" s="134" t="s">
        <v>89</v>
      </c>
      <c r="C22" s="135"/>
      <c r="D22" s="48" t="str">
        <f t="shared" si="4"/>
        <v/>
      </c>
      <c r="E22" s="48" t="str">
        <f t="shared" si="1"/>
        <v>2022 Statistics and the outlook for 2023-2027 - for 2030</v>
      </c>
      <c r="F22" s="77">
        <v>0.27</v>
      </c>
      <c r="G22" s="121"/>
      <c r="H22" s="13" t="s">
        <v>92</v>
      </c>
      <c r="I22" s="138"/>
      <c r="J22" s="99" t="s">
        <v>54</v>
      </c>
      <c r="K22" s="40" t="s">
        <v>33</v>
      </c>
      <c r="L22" s="41">
        <v>2030</v>
      </c>
      <c r="M22" s="99" t="s">
        <v>55</v>
      </c>
      <c r="N22" s="13" t="s">
        <v>36</v>
      </c>
      <c r="O22" s="134">
        <v>2022</v>
      </c>
      <c r="P22" s="135"/>
      <c r="Q22" s="13" t="s">
        <v>70</v>
      </c>
      <c r="R22" s="13">
        <v>3</v>
      </c>
      <c r="S22" s="13" t="s">
        <v>386</v>
      </c>
      <c r="T22" s="13">
        <v>3</v>
      </c>
      <c r="U22" s="13" t="s">
        <v>56</v>
      </c>
      <c r="V22" s="13" t="s">
        <v>36</v>
      </c>
      <c r="W22" s="13">
        <f t="shared" ca="1" si="3"/>
        <v>0</v>
      </c>
      <c r="X22" s="16"/>
    </row>
    <row r="23" spans="1:24" x14ac:dyDescent="0.25">
      <c r="A23" s="139"/>
      <c r="B23" s="141" t="s">
        <v>93</v>
      </c>
      <c r="C23" s="43" t="s">
        <v>72</v>
      </c>
      <c r="D23" s="48" t="str">
        <f t="shared" si="4"/>
        <v/>
      </c>
      <c r="E23" s="48" t="str">
        <f t="shared" si="1"/>
        <v>2023 Statistics and the outlook for 2024-2030 - for New built in 2023 (lower bound)</v>
      </c>
      <c r="F23" s="78">
        <v>0.3</v>
      </c>
      <c r="G23" s="120" t="s">
        <v>94</v>
      </c>
      <c r="H23" s="120"/>
      <c r="I23" s="122" t="s">
        <v>95</v>
      </c>
      <c r="J23" s="114" t="s">
        <v>54</v>
      </c>
      <c r="K23" s="116" t="s">
        <v>33</v>
      </c>
      <c r="L23" s="118" t="s">
        <v>96</v>
      </c>
      <c r="M23" s="114" t="s">
        <v>55</v>
      </c>
      <c r="N23" s="120" t="s">
        <v>36</v>
      </c>
      <c r="O23" s="141">
        <v>2023</v>
      </c>
      <c r="P23" s="159"/>
      <c r="Q23" s="13" t="s">
        <v>36</v>
      </c>
      <c r="R23" s="13">
        <v>3</v>
      </c>
      <c r="S23" s="120" t="s">
        <v>386</v>
      </c>
      <c r="T23" s="13">
        <v>2</v>
      </c>
      <c r="U23" s="120" t="s">
        <v>392</v>
      </c>
      <c r="V23" s="120" t="s">
        <v>36</v>
      </c>
      <c r="W23" s="13">
        <f ca="1">IF(OR(YEAR(TODAY())-O23&gt;6,Q23="No", V23="No"),0,R23+2*T23)</f>
        <v>7</v>
      </c>
      <c r="X23" s="16"/>
    </row>
    <row r="24" spans="1:24" ht="25.9" customHeight="1" x14ac:dyDescent="0.25">
      <c r="A24" s="140"/>
      <c r="B24" s="142"/>
      <c r="C24" s="44" t="s">
        <v>76</v>
      </c>
      <c r="D24" s="48" t="str">
        <f>IF(ISBLANK(A24), "", IF(ISBLANK(A25), A24, " "))</f>
        <v/>
      </c>
      <c r="E24" s="48" t="str">
        <f t="shared" si="1"/>
        <v xml:space="preserve"> (higher bound)</v>
      </c>
      <c r="F24" s="79">
        <v>0.35</v>
      </c>
      <c r="G24" s="121"/>
      <c r="H24" s="121"/>
      <c r="I24" s="123"/>
      <c r="J24" s="115"/>
      <c r="K24" s="117"/>
      <c r="L24" s="119"/>
      <c r="M24" s="115"/>
      <c r="N24" s="121"/>
      <c r="O24" s="141">
        <v>2023</v>
      </c>
      <c r="P24" s="159"/>
      <c r="Q24" s="13" t="s">
        <v>36</v>
      </c>
      <c r="R24" s="13">
        <v>3</v>
      </c>
      <c r="S24" s="121"/>
      <c r="T24" s="13">
        <v>2</v>
      </c>
      <c r="U24" s="121"/>
      <c r="V24" s="121"/>
      <c r="W24" s="13">
        <f t="shared" ca="1" si="3"/>
        <v>7</v>
      </c>
      <c r="X24" s="16"/>
    </row>
    <row r="25" spans="1:24" ht="45" x14ac:dyDescent="0.25">
      <c r="A25" s="18" t="s">
        <v>97</v>
      </c>
      <c r="B25" s="134" t="s">
        <v>98</v>
      </c>
      <c r="C25" s="135"/>
      <c r="D25" s="48" t="str">
        <f t="shared" si="4"/>
        <v xml:space="preserve"> </v>
      </c>
      <c r="E25" s="48" t="str">
        <f t="shared" si="1"/>
        <v xml:space="preserve"> France renouvelables - Wind Observatory 2024 - for 2023</v>
      </c>
      <c r="F25" s="80">
        <v>0.23</v>
      </c>
      <c r="G25" s="13" t="s">
        <v>99</v>
      </c>
      <c r="H25" s="13" t="s">
        <v>388</v>
      </c>
      <c r="I25" s="56" t="s">
        <v>100</v>
      </c>
      <c r="J25" s="99" t="s">
        <v>54</v>
      </c>
      <c r="K25" s="99" t="s">
        <v>54</v>
      </c>
      <c r="L25" s="64">
        <v>2023</v>
      </c>
      <c r="M25" s="40" t="s">
        <v>35</v>
      </c>
      <c r="N25" s="13" t="s">
        <v>36</v>
      </c>
      <c r="O25" s="134">
        <v>2024</v>
      </c>
      <c r="P25" s="135"/>
      <c r="Q25" s="13" t="s">
        <v>70</v>
      </c>
      <c r="R25" s="13">
        <v>3</v>
      </c>
      <c r="S25" s="13" t="s">
        <v>386</v>
      </c>
      <c r="T25" s="13">
        <v>2</v>
      </c>
      <c r="U25" s="13" t="s">
        <v>64</v>
      </c>
      <c r="V25" s="13" t="s">
        <v>36</v>
      </c>
      <c r="W25" s="13">
        <f t="shared" ca="1" si="3"/>
        <v>0</v>
      </c>
      <c r="X25" s="16"/>
    </row>
    <row r="26" spans="1:24" ht="195" x14ac:dyDescent="0.25">
      <c r="A26" s="18" t="s">
        <v>101</v>
      </c>
      <c r="B26" s="134" t="s">
        <v>102</v>
      </c>
      <c r="C26" s="135"/>
      <c r="D26" s="48" t="str">
        <f t="shared" si="4"/>
        <v xml:space="preserve"> </v>
      </c>
      <c r="E26" s="48" t="str">
        <f t="shared" si="1"/>
        <v> Stefan Pfenninger (TU Delft) and Iain Staffell (Imperial College London) - Renewables.ninja - for 2009-2019</v>
      </c>
      <c r="F26" s="36">
        <v>0.1827</v>
      </c>
      <c r="G26" s="13" t="s">
        <v>103</v>
      </c>
      <c r="H26" s="13" t="s">
        <v>104</v>
      </c>
      <c r="I26" s="56" t="s">
        <v>105</v>
      </c>
      <c r="J26" s="40" t="s">
        <v>413</v>
      </c>
      <c r="K26" s="40" t="s">
        <v>33</v>
      </c>
      <c r="L26" s="20" t="s">
        <v>106</v>
      </c>
      <c r="M26" s="40" t="s">
        <v>35</v>
      </c>
      <c r="N26" s="13" t="s">
        <v>36</v>
      </c>
      <c r="O26" s="134">
        <v>2016</v>
      </c>
      <c r="P26" s="135"/>
      <c r="Q26" s="13" t="s">
        <v>36</v>
      </c>
      <c r="R26" s="13">
        <v>4</v>
      </c>
      <c r="S26" s="13" t="s">
        <v>383</v>
      </c>
      <c r="T26" s="13">
        <v>3</v>
      </c>
      <c r="U26" s="13" t="s">
        <v>61</v>
      </c>
      <c r="V26" s="13" t="s">
        <v>70</v>
      </c>
      <c r="W26" s="13">
        <f t="shared" ca="1" si="3"/>
        <v>0</v>
      </c>
      <c r="X26" s="16"/>
    </row>
    <row r="27" spans="1:24" ht="90" x14ac:dyDescent="0.25">
      <c r="A27" s="37" t="s">
        <v>107</v>
      </c>
      <c r="B27" s="42" t="s">
        <v>108</v>
      </c>
      <c r="C27" s="43" t="s">
        <v>76</v>
      </c>
      <c r="D27" s="48" t="str">
        <f t="shared" si="4"/>
        <v xml:space="preserve"> </v>
      </c>
      <c r="E27" s="48" t="str">
        <f t="shared" si="1"/>
        <v>NZZ - Press article: Windkraft in Deutschland: Grosse Versprechen, kleine Erträge (2022) - for 2022 (higher bound)</v>
      </c>
      <c r="F27" s="26">
        <v>0.2</v>
      </c>
      <c r="G27" s="14" t="s">
        <v>109</v>
      </c>
      <c r="H27" s="14" t="s">
        <v>110</v>
      </c>
      <c r="I27" s="57" t="s">
        <v>111</v>
      </c>
      <c r="J27" s="89" t="s">
        <v>50</v>
      </c>
      <c r="K27" s="45" t="s">
        <v>33</v>
      </c>
      <c r="L27" s="102">
        <v>2022</v>
      </c>
      <c r="M27" s="45" t="s">
        <v>35</v>
      </c>
      <c r="N27" s="14" t="s">
        <v>36</v>
      </c>
      <c r="O27" s="134">
        <v>2022</v>
      </c>
      <c r="P27" s="135"/>
      <c r="Q27" s="14" t="s">
        <v>36</v>
      </c>
      <c r="R27" s="14">
        <v>2</v>
      </c>
      <c r="S27" s="14" t="s">
        <v>387</v>
      </c>
      <c r="T27" s="14">
        <v>3</v>
      </c>
      <c r="U27" s="14" t="s">
        <v>61</v>
      </c>
      <c r="V27" s="14" t="s">
        <v>70</v>
      </c>
      <c r="W27" s="13">
        <f t="shared" ca="1" si="3"/>
        <v>0</v>
      </c>
      <c r="X27" s="16"/>
    </row>
    <row r="28" spans="1:24" ht="45" x14ac:dyDescent="0.25">
      <c r="A28" s="18" t="s">
        <v>112</v>
      </c>
      <c r="B28" s="134" t="s">
        <v>113</v>
      </c>
      <c r="C28" s="135"/>
      <c r="D28" s="48" t="str">
        <f t="shared" si="4"/>
        <v xml:space="preserve"> </v>
      </c>
      <c r="E28" s="48" t="str">
        <f t="shared" si="1"/>
        <v>RTE - Electricity analysis and data, Annual capacity factor - for 2024</v>
      </c>
      <c r="F28" s="36">
        <v>0.214</v>
      </c>
      <c r="G28" s="13" t="s">
        <v>114</v>
      </c>
      <c r="H28" s="13" t="s">
        <v>61</v>
      </c>
      <c r="I28" s="56" t="s">
        <v>115</v>
      </c>
      <c r="J28" s="20" t="s">
        <v>50</v>
      </c>
      <c r="K28" s="40" t="s">
        <v>33</v>
      </c>
      <c r="L28" s="64">
        <v>2024</v>
      </c>
      <c r="M28" s="20" t="s">
        <v>116</v>
      </c>
      <c r="N28" s="13" t="s">
        <v>36</v>
      </c>
      <c r="O28" s="134">
        <v>2025</v>
      </c>
      <c r="P28" s="135"/>
      <c r="Q28" s="13" t="s">
        <v>36</v>
      </c>
      <c r="R28" s="13">
        <v>4</v>
      </c>
      <c r="S28" s="13" t="s">
        <v>385</v>
      </c>
      <c r="T28" s="13">
        <v>0</v>
      </c>
      <c r="U28" s="13" t="s">
        <v>117</v>
      </c>
      <c r="V28" s="13" t="s">
        <v>36</v>
      </c>
      <c r="W28" s="13">
        <f t="shared" ca="1" si="3"/>
        <v>4</v>
      </c>
      <c r="X28" s="16"/>
    </row>
    <row r="29" spans="1:24" x14ac:dyDescent="0.25">
      <c r="A29" s="22" t="s">
        <v>118</v>
      </c>
      <c r="E29"/>
    </row>
    <row r="30" spans="1:24" x14ac:dyDescent="0.25">
      <c r="A30" s="22"/>
      <c r="X30" s="16"/>
    </row>
    <row r="31" spans="1:24" x14ac:dyDescent="0.25">
      <c r="A31" s="22"/>
    </row>
    <row r="32" spans="1:24" x14ac:dyDescent="0.25">
      <c r="A32" s="22"/>
    </row>
    <row r="33" spans="1:1" x14ac:dyDescent="0.25">
      <c r="A33" s="22"/>
    </row>
    <row r="34" spans="1:1" x14ac:dyDescent="0.25">
      <c r="A34" s="22"/>
    </row>
    <row r="35" spans="1:1" x14ac:dyDescent="0.25">
      <c r="A35" s="22"/>
    </row>
    <row r="36" spans="1:1" x14ac:dyDescent="0.25">
      <c r="A36" s="22"/>
    </row>
    <row r="37" spans="1:1" x14ac:dyDescent="0.25">
      <c r="A37" s="22"/>
    </row>
    <row r="38" spans="1:1" x14ac:dyDescent="0.25">
      <c r="A38" s="22"/>
    </row>
    <row r="69" spans="1:41"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row>
    <row r="70" spans="1:41"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row>
    <row r="71" spans="1:41"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row>
    <row r="72" spans="1:41"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row>
    <row r="73" spans="1:41" x14ac:dyDescent="0.25">
      <c r="B73"/>
      <c r="C73"/>
      <c r="D73"/>
      <c r="E73"/>
      <c r="H73"/>
      <c r="I73"/>
    </row>
    <row r="74" spans="1:41" x14ac:dyDescent="0.25">
      <c r="B74"/>
      <c r="C74"/>
      <c r="D74"/>
      <c r="E74"/>
      <c r="H74"/>
      <c r="I74"/>
    </row>
    <row r="75" spans="1:41" x14ac:dyDescent="0.25">
      <c r="B75"/>
      <c r="C75"/>
      <c r="D75"/>
      <c r="E75"/>
      <c r="H75"/>
      <c r="I75"/>
    </row>
    <row r="76" spans="1:41" x14ac:dyDescent="0.25">
      <c r="B76"/>
      <c r="C76"/>
      <c r="D76"/>
      <c r="E76"/>
      <c r="H76"/>
      <c r="I76"/>
    </row>
    <row r="77" spans="1:41" x14ac:dyDescent="0.25">
      <c r="B77"/>
      <c r="C77"/>
      <c r="D77"/>
      <c r="E77"/>
      <c r="H77"/>
      <c r="I77"/>
    </row>
    <row r="78" spans="1:41" x14ac:dyDescent="0.25">
      <c r="B78"/>
      <c r="C78"/>
      <c r="D78"/>
      <c r="E78"/>
      <c r="H78"/>
      <c r="I78"/>
    </row>
    <row r="79" spans="1:41" x14ac:dyDescent="0.25">
      <c r="B79"/>
      <c r="C79"/>
      <c r="D79"/>
      <c r="E79"/>
      <c r="H79"/>
      <c r="I79"/>
    </row>
    <row r="80" spans="1:41" x14ac:dyDescent="0.25">
      <c r="B80"/>
      <c r="C80"/>
      <c r="D80"/>
      <c r="E80"/>
      <c r="H80"/>
      <c r="I80"/>
    </row>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sheetData>
  <autoFilter ref="A4:W29" xr:uid="{CF3372EA-71AB-4768-8A61-317A71472E2F}">
    <filterColumn colId="1" showButton="0"/>
  </autoFilter>
  <mergeCells count="88">
    <mergeCell ref="N13:N14"/>
    <mergeCell ref="M13:M14"/>
    <mergeCell ref="L13:L14"/>
    <mergeCell ref="K13:K14"/>
    <mergeCell ref="J13:J14"/>
    <mergeCell ref="S7:S10"/>
    <mergeCell ref="S16:S17"/>
    <mergeCell ref="S23:S24"/>
    <mergeCell ref="O23:P23"/>
    <mergeCell ref="O24:P24"/>
    <mergeCell ref="O22:P22"/>
    <mergeCell ref="O10:P10"/>
    <mergeCell ref="O11:P11"/>
    <mergeCell ref="O12:P12"/>
    <mergeCell ref="O13:P13"/>
    <mergeCell ref="O14:P14"/>
    <mergeCell ref="O8:P8"/>
    <mergeCell ref="O9:P9"/>
    <mergeCell ref="O28:P28"/>
    <mergeCell ref="O15:P15"/>
    <mergeCell ref="O18:P18"/>
    <mergeCell ref="O19:P19"/>
    <mergeCell ref="O20:P20"/>
    <mergeCell ref="O16:P16"/>
    <mergeCell ref="O17:P17"/>
    <mergeCell ref="O25:P25"/>
    <mergeCell ref="O26:P26"/>
    <mergeCell ref="O27:P27"/>
    <mergeCell ref="W2:W3"/>
    <mergeCell ref="O4:P4"/>
    <mergeCell ref="P3:Q3"/>
    <mergeCell ref="J3:O3"/>
    <mergeCell ref="B12:C12"/>
    <mergeCell ref="B11:C11"/>
    <mergeCell ref="B4:C4"/>
    <mergeCell ref="G7:G10"/>
    <mergeCell ref="H7:H10"/>
    <mergeCell ref="B7:C7"/>
    <mergeCell ref="B8:C8"/>
    <mergeCell ref="B9:C9"/>
    <mergeCell ref="B10:C10"/>
    <mergeCell ref="O5:P5"/>
    <mergeCell ref="O6:P6"/>
    <mergeCell ref="O7:P7"/>
    <mergeCell ref="A19:A20"/>
    <mergeCell ref="G23:G24"/>
    <mergeCell ref="B13:C13"/>
    <mergeCell ref="B15:C15"/>
    <mergeCell ref="B19:C19"/>
    <mergeCell ref="B18:C18"/>
    <mergeCell ref="B16:B17"/>
    <mergeCell ref="B26:C26"/>
    <mergeCell ref="B22:C22"/>
    <mergeCell ref="A21:A24"/>
    <mergeCell ref="B28:C28"/>
    <mergeCell ref="B23:B24"/>
    <mergeCell ref="B21:C21"/>
    <mergeCell ref="I16:I17"/>
    <mergeCell ref="I21:I22"/>
    <mergeCell ref="G21:G22"/>
    <mergeCell ref="U23:U24"/>
    <mergeCell ref="B25:C25"/>
    <mergeCell ref="H19:H20"/>
    <mergeCell ref="V23:V24"/>
    <mergeCell ref="U16:U17"/>
    <mergeCell ref="J16:J17"/>
    <mergeCell ref="K16:K17"/>
    <mergeCell ref="L16:L17"/>
    <mergeCell ref="M16:M17"/>
    <mergeCell ref="N16:N17"/>
    <mergeCell ref="O21:P21"/>
    <mergeCell ref="N23:N24"/>
    <mergeCell ref="A5:A10"/>
    <mergeCell ref="J23:J24"/>
    <mergeCell ref="K23:K24"/>
    <mergeCell ref="L23:L24"/>
    <mergeCell ref="M23:M24"/>
    <mergeCell ref="H23:H24"/>
    <mergeCell ref="I23:I24"/>
    <mergeCell ref="A13:A14"/>
    <mergeCell ref="B14:C14"/>
    <mergeCell ref="I13:I14"/>
    <mergeCell ref="A15:A17"/>
    <mergeCell ref="G16:G17"/>
    <mergeCell ref="H16:H17"/>
    <mergeCell ref="B5:C5"/>
    <mergeCell ref="B6:C6"/>
    <mergeCell ref="I7:I10"/>
  </mergeCells>
  <phoneticPr fontId="5" type="noConversion"/>
  <conditionalFormatting sqref="N5:V14">
    <cfRule type="cellIs" dxfId="23" priority="7" operator="equal">
      <formula>"yes"</formula>
    </cfRule>
  </conditionalFormatting>
  <conditionalFormatting sqref="O5:O28">
    <cfRule type="cellIs" dxfId="22" priority="1" operator="lessThan">
      <formula>2019</formula>
    </cfRule>
  </conditionalFormatting>
  <conditionalFormatting sqref="R16:R17 U16 T16:T17 R5:U5 R11:U11 R6:R10 T6:U10 S6:S7 R12:T12 R13:U15 S16 R18:U22 R25:U28 S23 R23:R24 U23 T23:T24">
    <cfRule type="colorScale" priority="159">
      <colorScale>
        <cfvo type="min"/>
        <cfvo type="percentile" val="50"/>
        <cfvo type="max"/>
        <color rgb="FFFFC7CE"/>
        <color rgb="FFFFEB9C"/>
        <color rgb="FFC6EFCE"/>
      </colorScale>
    </cfRule>
  </conditionalFormatting>
  <conditionalFormatting sqref="V5:V23 V25:V28">
    <cfRule type="cellIs" dxfId="21" priority="4" operator="equal">
      <formula>"yes"</formula>
    </cfRule>
    <cfRule type="cellIs" dxfId="20" priority="5" operator="equal">
      <formula>"no"</formula>
    </cfRule>
  </conditionalFormatting>
  <conditionalFormatting sqref="V5:V24 Q5:Q28">
    <cfRule type="cellIs" dxfId="19" priority="6" operator="equal">
      <formula>"no"</formula>
    </cfRule>
  </conditionalFormatting>
  <conditionalFormatting sqref="W5:W28">
    <cfRule type="colorScale" priority="572">
      <colorScale>
        <cfvo type="min"/>
        <cfvo type="percentile" val="50"/>
        <cfvo type="max"/>
        <color rgb="FFFFC7CE"/>
        <color rgb="FFFFEB9C"/>
        <color rgb="FFC6EFCE"/>
      </colorScale>
    </cfRule>
  </conditionalFormatting>
  <dataValidations count="2">
    <dataValidation type="list" allowBlank="1" showInputMessage="1" showErrorMessage="1" sqref="R5:R28 T5:T28" xr:uid="{F2412F98-7FCC-4D57-9FD6-BD4EA4CF58A4}">
      <formula1>"0,1,2,3,4"</formula1>
    </dataValidation>
    <dataValidation type="list" allowBlank="1" showInputMessage="1" showErrorMessage="1" sqref="N18:N23 V25:V28 N25:N28 V5:V23 Q5:Q28 N5:N13 N15:N16" xr:uid="{44B7121D-E742-434B-96FC-607A30E5FF52}">
      <formula1>"Yes,No"</formula1>
    </dataValidation>
  </dataValidations>
  <hyperlinks>
    <hyperlink ref="I15" r:id="rId1" xr:uid="{78007370-CAE1-4B17-AF50-9EB42EF8BCD4}"/>
    <hyperlink ref="I26" r:id="rId2" xr:uid="{11D1D15F-B51C-4E46-9151-BF25984BB67C}"/>
    <hyperlink ref="I28" r:id="rId3" xr:uid="{52AF5515-D03B-452B-9245-74907EA71DF8}"/>
    <hyperlink ref="I25" r:id="rId4" xr:uid="{42A23A08-4B5D-4E91-9476-0605A5E32B68}"/>
    <hyperlink ref="I21" r:id="rId5" xr:uid="{ADDD66A3-06B3-416E-9469-175E65467D9B}"/>
    <hyperlink ref="I23" r:id="rId6" xr:uid="{2CC1B42A-F251-44A6-BB34-0608056B157A}"/>
    <hyperlink ref="I13" r:id="rId7" xr:uid="{8259A2F0-CCEB-43E4-B646-D1231C33C644}"/>
    <hyperlink ref="I5" r:id="rId8" xr:uid="{B88FF108-DBC3-473C-859D-1E73ECAA5DE6}"/>
    <hyperlink ref="I6" r:id="rId9" xr:uid="{A961A1B5-9DEE-4F3C-B688-E15BB696BE4D}"/>
    <hyperlink ref="I27" r:id="rId10" xr:uid="{9BB7218A-D7ED-4E94-A722-850FC2FA3D2E}"/>
    <hyperlink ref="I16" r:id="rId11" xr:uid="{0A327751-BE8F-4683-AD85-6A761DA545DE}"/>
    <hyperlink ref="I7" r:id="rId12" xr:uid="{0CF5BAB9-5970-436D-AE63-F1B0BEEDAF2A}"/>
    <hyperlink ref="I18" r:id="rId13" xr:uid="{46B61A66-6BC5-494F-A4D3-FBA835705599}"/>
    <hyperlink ref="I16:I17" r:id="rId14" display="https://www.windguard.de/veroeffentlichungen.html?file=files/cto_layout/img/unternehmen/veroeffentlichungen/2020/Volllaststunden%20von%20Windenergieanlagen%20an%20Land%202020.pdf" xr:uid="{6A2290B2-E09A-44A4-99D8-1DC0E12434DB}"/>
    <hyperlink ref="I19" r:id="rId15" xr:uid="{C463D71E-0AC8-419A-B25E-2186B38F9658}"/>
    <hyperlink ref="I20" r:id="rId16" xr:uid="{BFDE9735-1673-4CB7-9E13-6FE79B1110AC}"/>
    <hyperlink ref="I12" r:id="rId17" xr:uid="{E3194411-657F-4B61-8112-99C5849D6040}"/>
    <hyperlink ref="I11" r:id="rId18" xr:uid="{9957A74E-B439-433D-940E-D01B8BC12BD6}"/>
  </hyperlinks>
  <pageMargins left="0.7" right="0.7" top="0.75" bottom="0.75" header="0.3" footer="0.3"/>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4403B-929B-44EC-8A51-A3F544BD2FDC}">
  <sheetPr codeName="Feuil4"/>
  <dimension ref="A1:X51"/>
  <sheetViews>
    <sheetView zoomScale="85" zoomScaleNormal="85" workbookViewId="0">
      <pane xSplit="6" ySplit="4" topLeftCell="G5" activePane="bottomRight" state="frozen"/>
      <selection pane="topRight" activeCell="G1" sqref="G1"/>
      <selection pane="bottomLeft" activeCell="A4" sqref="A4"/>
      <selection pane="bottomRight"/>
    </sheetView>
  </sheetViews>
  <sheetFormatPr defaultColWidth="11.42578125" defaultRowHeight="15" x14ac:dyDescent="0.25"/>
  <cols>
    <col min="1" max="1" width="15.7109375" customWidth="1"/>
    <col min="2" max="2" width="18.140625" style="17" customWidth="1"/>
    <col min="3" max="3" width="11.28515625" style="69" customWidth="1"/>
    <col min="4" max="5" width="0.140625" style="17" customWidth="1"/>
    <col min="6" max="6" width="9.7109375" style="17" customWidth="1"/>
    <col min="7" max="7" width="32.5703125" style="17" customWidth="1"/>
    <col min="8" max="8" width="31.28515625" style="17" customWidth="1"/>
    <col min="9" max="9" width="6.85546875" style="11" customWidth="1"/>
    <col min="10" max="10" width="13.42578125" customWidth="1"/>
    <col min="11" max="11" width="11.7109375" customWidth="1"/>
    <col min="12" max="12" width="10.7109375" customWidth="1"/>
    <col min="13" max="13" width="8.28515625" customWidth="1"/>
    <col min="14" max="14" width="7.5703125" customWidth="1"/>
    <col min="15" max="15" width="15.140625" customWidth="1"/>
    <col min="16" max="16" width="8.5703125" customWidth="1"/>
    <col min="17" max="17" width="10.7109375" customWidth="1"/>
    <col min="18" max="18" width="7.28515625" customWidth="1"/>
    <col min="19" max="19" width="9.28515625" customWidth="1"/>
    <col min="20" max="20" width="15.7109375" customWidth="1"/>
    <col min="21" max="21" width="9.7109375" customWidth="1"/>
    <col min="22" max="23" width="15.7109375" customWidth="1"/>
    <col min="24" max="24" width="17.28515625" customWidth="1"/>
  </cols>
  <sheetData>
    <row r="1" spans="1:24" ht="21" x14ac:dyDescent="0.35">
      <c r="A1" s="39" t="s">
        <v>408</v>
      </c>
    </row>
    <row r="2" spans="1:24" ht="41.45" customHeight="1" x14ac:dyDescent="0.25">
      <c r="X2" s="147" t="s">
        <v>380</v>
      </c>
    </row>
    <row r="3" spans="1:24" ht="14.45" customHeight="1" x14ac:dyDescent="0.25">
      <c r="K3" s="151" t="s">
        <v>381</v>
      </c>
      <c r="L3" s="151"/>
      <c r="M3" s="151"/>
      <c r="N3" s="151"/>
      <c r="O3" s="151"/>
      <c r="P3" s="151"/>
      <c r="Q3" s="151" t="s">
        <v>382</v>
      </c>
      <c r="R3" s="151"/>
      <c r="W3" s="90" t="s">
        <v>400</v>
      </c>
      <c r="X3" s="148"/>
    </row>
    <row r="4" spans="1:24" ht="60" x14ac:dyDescent="0.25">
      <c r="A4" s="24" t="s">
        <v>119</v>
      </c>
      <c r="B4" s="152" t="s">
        <v>15</v>
      </c>
      <c r="C4" s="153"/>
      <c r="D4" s="47" t="s">
        <v>16</v>
      </c>
      <c r="E4" s="47" t="s">
        <v>17</v>
      </c>
      <c r="F4" s="24" t="s">
        <v>120</v>
      </c>
      <c r="G4" s="25" t="s">
        <v>19</v>
      </c>
      <c r="H4" s="25" t="s">
        <v>245</v>
      </c>
      <c r="I4" s="81" t="s">
        <v>20</v>
      </c>
      <c r="J4" s="24" t="s">
        <v>121</v>
      </c>
      <c r="K4" s="24" t="s">
        <v>122</v>
      </c>
      <c r="L4" s="24" t="s">
        <v>123</v>
      </c>
      <c r="M4" s="24" t="s">
        <v>124</v>
      </c>
      <c r="N4" s="24" t="s">
        <v>125</v>
      </c>
      <c r="O4" s="24" t="s">
        <v>23</v>
      </c>
      <c r="P4" s="25" t="s">
        <v>25</v>
      </c>
      <c r="Q4" s="25" t="s">
        <v>24</v>
      </c>
      <c r="R4" s="25" t="s">
        <v>376</v>
      </c>
      <c r="S4" s="25" t="s">
        <v>377</v>
      </c>
      <c r="T4" s="25" t="s">
        <v>378</v>
      </c>
      <c r="U4" s="25" t="s">
        <v>379</v>
      </c>
      <c r="V4" s="25" t="s">
        <v>26</v>
      </c>
      <c r="W4" s="25" t="s">
        <v>27</v>
      </c>
      <c r="X4" s="25" t="s">
        <v>28</v>
      </c>
    </row>
    <row r="5" spans="1:24" ht="30" x14ac:dyDescent="0.25">
      <c r="A5" s="171" t="s">
        <v>126</v>
      </c>
      <c r="B5" s="174" t="s">
        <v>127</v>
      </c>
      <c r="C5" s="175"/>
      <c r="D5" s="48" t="str">
        <f t="shared" ref="D5:D36" si="0">IF(ISBLANK(A5), "", IF(ISBLANK(A6), A5, " "))</f>
        <v>TYNDP 2024, Scenarios methodology report</v>
      </c>
      <c r="E5" s="48" t="str">
        <f>_xlfn.CONCAT(IF(D5=" ", _xlfn.CONCAT(A5, " - ", IF(ISBLANK(N5),B5,B5&amp;" - for "&amp;N5)), IF(ISBLANK(N5),B5,B5&amp;" - for "&amp;N5)),IF(ISBLANK(C5), "", _xlfn.CONCAT(" (",C5,")")))</f>
        <v>Scenario NT+ - gas blend - for 2030</v>
      </c>
      <c r="F5" s="30">
        <v>27</v>
      </c>
      <c r="G5" s="166" t="s">
        <v>128</v>
      </c>
      <c r="H5" s="166" t="s">
        <v>129</v>
      </c>
      <c r="I5" s="167" t="s">
        <v>130</v>
      </c>
      <c r="J5" s="30" t="s">
        <v>131</v>
      </c>
      <c r="K5" s="30" t="s">
        <v>54</v>
      </c>
      <c r="L5" s="20" t="s">
        <v>132</v>
      </c>
      <c r="M5" s="31"/>
      <c r="N5" s="60">
        <v>2030</v>
      </c>
      <c r="O5" s="61" t="s">
        <v>55</v>
      </c>
      <c r="P5" s="30" t="s">
        <v>36</v>
      </c>
      <c r="Q5" s="30">
        <v>2025</v>
      </c>
      <c r="R5" s="30" t="s">
        <v>36</v>
      </c>
      <c r="S5" s="30">
        <v>4</v>
      </c>
      <c r="T5" s="30"/>
      <c r="U5" s="30">
        <v>1</v>
      </c>
      <c r="V5" s="30" t="s">
        <v>132</v>
      </c>
      <c r="W5" s="30" t="s">
        <v>36</v>
      </c>
      <c r="X5" s="30"/>
    </row>
    <row r="6" spans="1:24" ht="30" x14ac:dyDescent="0.25">
      <c r="A6" s="172"/>
      <c r="B6" s="174" t="s">
        <v>127</v>
      </c>
      <c r="C6" s="175"/>
      <c r="D6" s="48" t="str">
        <f t="shared" si="0"/>
        <v/>
      </c>
      <c r="E6" s="48" t="str">
        <f t="shared" ref="E6:E36" si="1">_xlfn.CONCAT(IF(D6=" ", _xlfn.CONCAT(A6, " - ", IF(ISBLANK(N6),B6,B6&amp;" - for "&amp;N6)), IF(ISBLANK(N6),B6,B6&amp;" - for "&amp;N6)),IF(ISBLANK(C6), "", _xlfn.CONCAT(" (",C6,")")))</f>
        <v>Scenario NT+ - gas blend - for 2040</v>
      </c>
      <c r="F6" s="30">
        <v>32.4</v>
      </c>
      <c r="G6" s="166"/>
      <c r="H6" s="166"/>
      <c r="I6" s="167"/>
      <c r="J6" s="30" t="s">
        <v>133</v>
      </c>
      <c r="K6" s="30" t="s">
        <v>54</v>
      </c>
      <c r="L6" s="20" t="s">
        <v>132</v>
      </c>
      <c r="M6" s="31"/>
      <c r="N6" s="60">
        <v>2040</v>
      </c>
      <c r="O6" s="61" t="s">
        <v>55</v>
      </c>
      <c r="P6" s="30" t="s">
        <v>36</v>
      </c>
      <c r="Q6" s="30">
        <v>2025</v>
      </c>
      <c r="R6" s="30" t="s">
        <v>36</v>
      </c>
      <c r="S6" s="30">
        <v>4</v>
      </c>
      <c r="T6" s="30"/>
      <c r="U6" s="30">
        <v>1</v>
      </c>
      <c r="V6" s="30" t="s">
        <v>132</v>
      </c>
      <c r="W6" s="30" t="s">
        <v>36</v>
      </c>
      <c r="X6" s="30"/>
    </row>
    <row r="7" spans="1:24" ht="30" x14ac:dyDescent="0.25">
      <c r="A7" s="172"/>
      <c r="B7" s="174" t="s">
        <v>134</v>
      </c>
      <c r="C7" s="175"/>
      <c r="D7" s="48" t="str">
        <f t="shared" si="0"/>
        <v/>
      </c>
      <c r="E7" s="48" t="str">
        <f t="shared" si="1"/>
        <v>Scenario DE - gas blend - for 2040</v>
      </c>
      <c r="F7" s="30">
        <v>39.200000000000003</v>
      </c>
      <c r="G7" s="166"/>
      <c r="H7" s="166"/>
      <c r="I7" s="167"/>
      <c r="J7" s="30" t="s">
        <v>135</v>
      </c>
      <c r="K7" s="30" t="s">
        <v>54</v>
      </c>
      <c r="L7" s="20" t="s">
        <v>132</v>
      </c>
      <c r="M7" s="31"/>
      <c r="N7" s="60">
        <v>2040</v>
      </c>
      <c r="O7" s="61" t="s">
        <v>55</v>
      </c>
      <c r="P7" s="30" t="s">
        <v>36</v>
      </c>
      <c r="Q7" s="30">
        <v>2025</v>
      </c>
      <c r="R7" s="30" t="s">
        <v>36</v>
      </c>
      <c r="S7" s="30">
        <v>4</v>
      </c>
      <c r="T7" s="30"/>
      <c r="U7" s="30">
        <v>1</v>
      </c>
      <c r="V7" s="30" t="s">
        <v>132</v>
      </c>
      <c r="W7" s="30" t="s">
        <v>36</v>
      </c>
      <c r="X7" s="30"/>
    </row>
    <row r="8" spans="1:24" ht="30" x14ac:dyDescent="0.25">
      <c r="A8" s="172"/>
      <c r="B8" s="174" t="s">
        <v>134</v>
      </c>
      <c r="C8" s="175"/>
      <c r="D8" s="48" t="str">
        <f t="shared" si="0"/>
        <v/>
      </c>
      <c r="E8" s="48" t="str">
        <f t="shared" si="1"/>
        <v>Scenario DE - gas blend - for 2050</v>
      </c>
      <c r="F8" s="30">
        <v>64.400000000000006</v>
      </c>
      <c r="G8" s="166"/>
      <c r="H8" s="166"/>
      <c r="I8" s="167"/>
      <c r="J8" s="30" t="s">
        <v>136</v>
      </c>
      <c r="K8" s="30" t="s">
        <v>54</v>
      </c>
      <c r="L8" s="20" t="s">
        <v>132</v>
      </c>
      <c r="M8" s="31"/>
      <c r="N8" s="60">
        <v>2050</v>
      </c>
      <c r="O8" s="61" t="s">
        <v>55</v>
      </c>
      <c r="P8" s="30" t="s">
        <v>36</v>
      </c>
      <c r="Q8" s="30">
        <v>2025</v>
      </c>
      <c r="R8" s="30" t="s">
        <v>36</v>
      </c>
      <c r="S8" s="30">
        <v>4</v>
      </c>
      <c r="T8" s="30"/>
      <c r="U8" s="30">
        <v>1</v>
      </c>
      <c r="V8" s="30" t="s">
        <v>132</v>
      </c>
      <c r="W8" s="30" t="s">
        <v>70</v>
      </c>
      <c r="X8" s="30"/>
    </row>
    <row r="9" spans="1:24" ht="30" x14ac:dyDescent="0.25">
      <c r="A9" s="172"/>
      <c r="B9" s="174" t="s">
        <v>137</v>
      </c>
      <c r="C9" s="175"/>
      <c r="D9" s="48" t="str">
        <f t="shared" si="0"/>
        <v/>
      </c>
      <c r="E9" s="48" t="str">
        <f t="shared" si="1"/>
        <v>Scenario GA - gas blend - for 2040</v>
      </c>
      <c r="F9" s="30">
        <v>35.299999999999997</v>
      </c>
      <c r="G9" s="166"/>
      <c r="H9" s="166"/>
      <c r="I9" s="167"/>
      <c r="J9" s="30" t="s">
        <v>138</v>
      </c>
      <c r="K9" s="30" t="s">
        <v>54</v>
      </c>
      <c r="L9" s="20" t="s">
        <v>132</v>
      </c>
      <c r="M9" s="31"/>
      <c r="N9" s="60">
        <v>2040</v>
      </c>
      <c r="O9" s="61" t="s">
        <v>55</v>
      </c>
      <c r="P9" s="30" t="s">
        <v>36</v>
      </c>
      <c r="Q9" s="30">
        <v>2025</v>
      </c>
      <c r="R9" s="30" t="s">
        <v>36</v>
      </c>
      <c r="S9" s="30">
        <v>4</v>
      </c>
      <c r="T9" s="30"/>
      <c r="U9" s="30">
        <v>1</v>
      </c>
      <c r="V9" s="30" t="s">
        <v>132</v>
      </c>
      <c r="W9" s="30" t="s">
        <v>36</v>
      </c>
      <c r="X9" s="30"/>
    </row>
    <row r="10" spans="1:24" ht="30" x14ac:dyDescent="0.25">
      <c r="A10" s="172"/>
      <c r="B10" s="174" t="s">
        <v>137</v>
      </c>
      <c r="C10" s="175"/>
      <c r="D10" s="48" t="str">
        <f t="shared" si="0"/>
        <v/>
      </c>
      <c r="E10" s="48" t="str">
        <f t="shared" si="1"/>
        <v>Scenario GA - gas blend - for 2050</v>
      </c>
      <c r="F10" s="30">
        <v>56.9</v>
      </c>
      <c r="G10" s="166"/>
      <c r="H10" s="166"/>
      <c r="I10" s="167"/>
      <c r="J10" s="30" t="s">
        <v>139</v>
      </c>
      <c r="K10" s="30" t="s">
        <v>54</v>
      </c>
      <c r="L10" s="20" t="s">
        <v>132</v>
      </c>
      <c r="M10" s="31"/>
      <c r="N10" s="60">
        <v>2050</v>
      </c>
      <c r="O10" s="61" t="s">
        <v>55</v>
      </c>
      <c r="P10" s="30" t="s">
        <v>36</v>
      </c>
      <c r="Q10" s="30">
        <v>2025</v>
      </c>
      <c r="R10" s="30" t="s">
        <v>36</v>
      </c>
      <c r="S10" s="30">
        <v>4</v>
      </c>
      <c r="T10" s="30"/>
      <c r="U10" s="30">
        <v>1</v>
      </c>
      <c r="V10" s="30" t="s">
        <v>132</v>
      </c>
      <c r="W10" s="30" t="s">
        <v>70</v>
      </c>
      <c r="X10" s="30"/>
    </row>
    <row r="11" spans="1:24" ht="30" x14ac:dyDescent="0.25">
      <c r="A11" s="172"/>
      <c r="B11" s="174" t="s">
        <v>140</v>
      </c>
      <c r="C11" s="175"/>
      <c r="D11" s="48" t="str">
        <f t="shared" si="0"/>
        <v/>
      </c>
      <c r="E11" s="48" t="str">
        <f t="shared" si="1"/>
        <v>All scenarios - natural gas - for 2030</v>
      </c>
      <c r="F11" s="30">
        <v>22.7</v>
      </c>
      <c r="G11" s="166"/>
      <c r="H11" s="166" t="s">
        <v>141</v>
      </c>
      <c r="I11" s="167"/>
      <c r="J11" s="30" t="s">
        <v>142</v>
      </c>
      <c r="K11" s="30" t="s">
        <v>54</v>
      </c>
      <c r="L11" s="61" t="s">
        <v>143</v>
      </c>
      <c r="M11" s="31"/>
      <c r="N11" s="60">
        <v>2030</v>
      </c>
      <c r="O11" s="61" t="s">
        <v>55</v>
      </c>
      <c r="P11" s="30" t="s">
        <v>36</v>
      </c>
      <c r="Q11" s="30">
        <v>2025</v>
      </c>
      <c r="R11" s="30" t="s">
        <v>70</v>
      </c>
      <c r="S11" s="30">
        <v>4</v>
      </c>
      <c r="T11" s="30"/>
      <c r="U11" s="30">
        <v>4</v>
      </c>
      <c r="V11" s="30"/>
      <c r="W11" s="30" t="s">
        <v>36</v>
      </c>
      <c r="X11" s="30"/>
    </row>
    <row r="12" spans="1:24" ht="30" x14ac:dyDescent="0.25">
      <c r="A12" s="172"/>
      <c r="B12" s="174" t="s">
        <v>140</v>
      </c>
      <c r="C12" s="175"/>
      <c r="D12" s="48" t="str">
        <f t="shared" si="0"/>
        <v/>
      </c>
      <c r="E12" s="48" t="str">
        <f t="shared" si="1"/>
        <v>All scenarios - natural gas - for 2040</v>
      </c>
      <c r="F12" s="30">
        <v>20.5</v>
      </c>
      <c r="G12" s="166"/>
      <c r="H12" s="166"/>
      <c r="I12" s="167"/>
      <c r="J12" s="30" t="s">
        <v>144</v>
      </c>
      <c r="K12" s="30" t="s">
        <v>54</v>
      </c>
      <c r="L12" s="61" t="s">
        <v>143</v>
      </c>
      <c r="M12" s="31"/>
      <c r="N12" s="60">
        <v>2040</v>
      </c>
      <c r="O12" s="61" t="s">
        <v>55</v>
      </c>
      <c r="P12" s="30" t="s">
        <v>36</v>
      </c>
      <c r="Q12" s="30">
        <v>2025</v>
      </c>
      <c r="R12" s="30" t="s">
        <v>70</v>
      </c>
      <c r="S12" s="30">
        <v>4</v>
      </c>
      <c r="T12" s="30"/>
      <c r="U12" s="30">
        <v>4</v>
      </c>
      <c r="V12" s="30"/>
      <c r="W12" s="30" t="s">
        <v>36</v>
      </c>
      <c r="X12" s="30"/>
    </row>
    <row r="13" spans="1:24" ht="30" x14ac:dyDescent="0.25">
      <c r="A13" s="172"/>
      <c r="B13" s="174" t="s">
        <v>140</v>
      </c>
      <c r="C13" s="175"/>
      <c r="D13" s="48" t="str">
        <f t="shared" si="0"/>
        <v/>
      </c>
      <c r="E13" s="48" t="str">
        <f t="shared" si="1"/>
        <v>All scenarios - natural gas - for 2050</v>
      </c>
      <c r="F13" s="30">
        <v>18</v>
      </c>
      <c r="G13" s="166"/>
      <c r="H13" s="166"/>
      <c r="I13" s="167"/>
      <c r="J13" s="30" t="s">
        <v>145</v>
      </c>
      <c r="K13" s="30" t="s">
        <v>54</v>
      </c>
      <c r="L13" s="61" t="s">
        <v>143</v>
      </c>
      <c r="M13" s="31"/>
      <c r="N13" s="60">
        <v>2050</v>
      </c>
      <c r="O13" s="61" t="s">
        <v>55</v>
      </c>
      <c r="P13" s="30" t="s">
        <v>36</v>
      </c>
      <c r="Q13" s="30">
        <v>2025</v>
      </c>
      <c r="R13" s="30" t="s">
        <v>70</v>
      </c>
      <c r="S13" s="30">
        <v>4</v>
      </c>
      <c r="T13" s="30"/>
      <c r="U13" s="30">
        <v>4</v>
      </c>
      <c r="V13" s="30"/>
      <c r="W13" s="30" t="s">
        <v>36</v>
      </c>
      <c r="X13" s="30"/>
    </row>
    <row r="14" spans="1:24" ht="30" x14ac:dyDescent="0.25">
      <c r="A14" s="172"/>
      <c r="B14" s="174" t="s">
        <v>146</v>
      </c>
      <c r="C14" s="175"/>
      <c r="D14" s="48" t="str">
        <f t="shared" si="0"/>
        <v/>
      </c>
      <c r="E14" s="48" t="str">
        <f t="shared" si="1"/>
        <v>All scenarios - biomethane - for 2030</v>
      </c>
      <c r="F14" s="30">
        <v>67.7</v>
      </c>
      <c r="G14" s="166"/>
      <c r="H14" s="166" t="s">
        <v>147</v>
      </c>
      <c r="I14" s="167"/>
      <c r="J14" s="30" t="s">
        <v>148</v>
      </c>
      <c r="K14" s="30" t="s">
        <v>54</v>
      </c>
      <c r="L14" s="20" t="s">
        <v>149</v>
      </c>
      <c r="M14" s="31"/>
      <c r="N14" s="60">
        <v>2030</v>
      </c>
      <c r="O14" s="61" t="s">
        <v>55</v>
      </c>
      <c r="P14" s="30" t="s">
        <v>36</v>
      </c>
      <c r="Q14" s="30">
        <v>2025</v>
      </c>
      <c r="R14" s="30" t="s">
        <v>70</v>
      </c>
      <c r="S14" s="30">
        <v>4</v>
      </c>
      <c r="T14" s="30"/>
      <c r="U14" s="30">
        <v>0</v>
      </c>
      <c r="V14" s="30" t="s">
        <v>149</v>
      </c>
      <c r="W14" s="30" t="s">
        <v>70</v>
      </c>
      <c r="X14" s="30"/>
    </row>
    <row r="15" spans="1:24" ht="30" x14ac:dyDescent="0.25">
      <c r="A15" s="172"/>
      <c r="B15" s="174" t="s">
        <v>146</v>
      </c>
      <c r="C15" s="175"/>
      <c r="D15" s="48" t="str">
        <f t="shared" si="0"/>
        <v/>
      </c>
      <c r="E15" s="48" t="str">
        <f t="shared" si="1"/>
        <v>All scenarios - biomethane - for 2040</v>
      </c>
      <c r="F15" s="30">
        <v>64.8</v>
      </c>
      <c r="G15" s="166"/>
      <c r="H15" s="166"/>
      <c r="I15" s="167"/>
      <c r="J15" s="30" t="s">
        <v>150</v>
      </c>
      <c r="K15" s="30" t="s">
        <v>54</v>
      </c>
      <c r="L15" s="20" t="s">
        <v>149</v>
      </c>
      <c r="M15" s="31"/>
      <c r="N15" s="60">
        <v>2040</v>
      </c>
      <c r="O15" s="61" t="s">
        <v>55</v>
      </c>
      <c r="P15" s="30" t="s">
        <v>36</v>
      </c>
      <c r="Q15" s="30">
        <v>2025</v>
      </c>
      <c r="R15" s="30" t="s">
        <v>70</v>
      </c>
      <c r="S15" s="30">
        <v>4</v>
      </c>
      <c r="T15" s="30"/>
      <c r="U15" s="30">
        <v>0</v>
      </c>
      <c r="V15" s="30" t="s">
        <v>149</v>
      </c>
      <c r="W15" s="30" t="s">
        <v>70</v>
      </c>
      <c r="X15" s="30"/>
    </row>
    <row r="16" spans="1:24" ht="30" x14ac:dyDescent="0.25">
      <c r="A16" s="173"/>
      <c r="B16" s="174" t="s">
        <v>146</v>
      </c>
      <c r="C16" s="175"/>
      <c r="D16" s="48" t="str">
        <f t="shared" si="0"/>
        <v/>
      </c>
      <c r="E16" s="48" t="str">
        <f t="shared" si="1"/>
        <v>All scenarios - biomethane - for 2050</v>
      </c>
      <c r="F16" s="30">
        <v>62.3</v>
      </c>
      <c r="G16" s="166"/>
      <c r="H16" s="166"/>
      <c r="I16" s="167"/>
      <c r="J16" s="30" t="s">
        <v>151</v>
      </c>
      <c r="K16" s="30" t="s">
        <v>54</v>
      </c>
      <c r="L16" s="20" t="s">
        <v>149</v>
      </c>
      <c r="M16" s="31"/>
      <c r="N16" s="60">
        <v>2050</v>
      </c>
      <c r="O16" s="61" t="s">
        <v>55</v>
      </c>
      <c r="P16" s="30" t="s">
        <v>36</v>
      </c>
      <c r="Q16" s="30">
        <v>2025</v>
      </c>
      <c r="R16" s="30" t="s">
        <v>70</v>
      </c>
      <c r="S16" s="30">
        <v>4</v>
      </c>
      <c r="T16" s="30"/>
      <c r="U16" s="30">
        <v>0</v>
      </c>
      <c r="V16" s="30" t="s">
        <v>149</v>
      </c>
      <c r="W16" s="30" t="s">
        <v>70</v>
      </c>
      <c r="X16" s="30"/>
    </row>
    <row r="17" spans="1:24" ht="30" x14ac:dyDescent="0.25">
      <c r="A17" s="124" t="s">
        <v>152</v>
      </c>
      <c r="B17" s="141" t="s">
        <v>153</v>
      </c>
      <c r="C17" s="159"/>
      <c r="D17" s="48" t="str">
        <f t="shared" si="0"/>
        <v>IEA's Global Energy and Climate Model 2024</v>
      </c>
      <c r="E17" s="48" t="str">
        <f t="shared" si="1"/>
        <v>Scenario STEPS - for 2030</v>
      </c>
      <c r="F17" s="76">
        <v>22.413793103448278</v>
      </c>
      <c r="G17" s="162" t="s">
        <v>154</v>
      </c>
      <c r="H17" s="162" t="s">
        <v>155</v>
      </c>
      <c r="I17" s="161" t="s">
        <v>156</v>
      </c>
      <c r="J17" s="13" t="s">
        <v>157</v>
      </c>
      <c r="K17" s="18" t="s">
        <v>158</v>
      </c>
      <c r="L17" s="41" t="s">
        <v>143</v>
      </c>
      <c r="M17" s="18"/>
      <c r="N17" s="41">
        <v>2030</v>
      </c>
      <c r="O17" s="40" t="s">
        <v>159</v>
      </c>
      <c r="P17" s="13" t="s">
        <v>36</v>
      </c>
      <c r="Q17" s="13">
        <v>2024</v>
      </c>
      <c r="R17" s="13" t="s">
        <v>36</v>
      </c>
      <c r="S17" s="13">
        <v>4</v>
      </c>
      <c r="T17" s="13" t="s">
        <v>344</v>
      </c>
      <c r="U17" s="13">
        <v>4</v>
      </c>
      <c r="V17" s="13"/>
      <c r="W17" s="13" t="s">
        <v>36</v>
      </c>
      <c r="X17" s="13">
        <f ca="1">IF(OR(YEAR(TODAY())-Q17&gt;6,R17="No", W17="No"),0,S17+2*U17)</f>
        <v>12</v>
      </c>
    </row>
    <row r="18" spans="1:24" ht="30" x14ac:dyDescent="0.25">
      <c r="A18" s="128"/>
      <c r="B18" s="141" t="s">
        <v>153</v>
      </c>
      <c r="C18" s="159"/>
      <c r="D18" s="48" t="str">
        <f t="shared" si="0"/>
        <v/>
      </c>
      <c r="E18" s="48" t="str">
        <f t="shared" si="1"/>
        <v>Scenario STEPS - for 2040</v>
      </c>
      <c r="F18" s="76">
        <v>26.206896551724139</v>
      </c>
      <c r="G18" s="162"/>
      <c r="H18" s="162"/>
      <c r="I18" s="161"/>
      <c r="J18" s="13" t="s">
        <v>160</v>
      </c>
      <c r="K18" s="18" t="s">
        <v>158</v>
      </c>
      <c r="L18" s="41" t="s">
        <v>143</v>
      </c>
      <c r="M18" s="18"/>
      <c r="N18" s="41">
        <v>2040</v>
      </c>
      <c r="O18" s="40" t="s">
        <v>159</v>
      </c>
      <c r="P18" s="13" t="s">
        <v>36</v>
      </c>
      <c r="Q18" s="13">
        <v>2024</v>
      </c>
      <c r="R18" s="13" t="s">
        <v>36</v>
      </c>
      <c r="S18" s="13">
        <v>4</v>
      </c>
      <c r="T18" s="13" t="s">
        <v>344</v>
      </c>
      <c r="U18" s="13">
        <v>4</v>
      </c>
      <c r="V18" s="13"/>
      <c r="W18" s="13" t="s">
        <v>36</v>
      </c>
      <c r="X18" s="13">
        <f t="shared" ref="X18:X51" ca="1" si="2">IF(OR(YEAR(TODAY())-Q18&gt;6,R18="No", W18="No"),0,S18+2*U18)</f>
        <v>12</v>
      </c>
    </row>
    <row r="19" spans="1:24" ht="30" x14ac:dyDescent="0.25">
      <c r="A19" s="128"/>
      <c r="B19" s="141" t="s">
        <v>153</v>
      </c>
      <c r="C19" s="159"/>
      <c r="D19" s="48" t="str">
        <f t="shared" si="0"/>
        <v/>
      </c>
      <c r="E19" s="48" t="str">
        <f t="shared" si="1"/>
        <v>Scenario STEPS - for 2050</v>
      </c>
      <c r="F19" s="76">
        <v>26.551724137931036</v>
      </c>
      <c r="G19" s="162"/>
      <c r="H19" s="162"/>
      <c r="I19" s="161"/>
      <c r="J19" s="13" t="s">
        <v>161</v>
      </c>
      <c r="K19" s="18" t="s">
        <v>158</v>
      </c>
      <c r="L19" s="41" t="s">
        <v>143</v>
      </c>
      <c r="M19" s="18"/>
      <c r="N19" s="41">
        <v>2050</v>
      </c>
      <c r="O19" s="40" t="s">
        <v>159</v>
      </c>
      <c r="P19" s="13" t="s">
        <v>36</v>
      </c>
      <c r="Q19" s="13">
        <v>2024</v>
      </c>
      <c r="R19" s="13" t="s">
        <v>36</v>
      </c>
      <c r="S19" s="13">
        <v>4</v>
      </c>
      <c r="T19" s="13" t="s">
        <v>344</v>
      </c>
      <c r="U19" s="13">
        <v>4</v>
      </c>
      <c r="V19" s="13"/>
      <c r="W19" s="13" t="s">
        <v>36</v>
      </c>
      <c r="X19" s="13">
        <f t="shared" ca="1" si="2"/>
        <v>12</v>
      </c>
    </row>
    <row r="20" spans="1:24" ht="30" x14ac:dyDescent="0.25">
      <c r="A20" s="128"/>
      <c r="B20" s="141" t="s">
        <v>162</v>
      </c>
      <c r="C20" s="159"/>
      <c r="D20" s="48" t="str">
        <f t="shared" si="0"/>
        <v/>
      </c>
      <c r="E20" s="48" t="str">
        <f t="shared" si="1"/>
        <v>Scenario APS - for 2030</v>
      </c>
      <c r="F20" s="76">
        <v>20.689655172413794</v>
      </c>
      <c r="G20" s="162"/>
      <c r="H20" s="162"/>
      <c r="I20" s="161"/>
      <c r="J20" s="13" t="s">
        <v>163</v>
      </c>
      <c r="K20" s="18" t="s">
        <v>158</v>
      </c>
      <c r="L20" s="41" t="s">
        <v>143</v>
      </c>
      <c r="M20" s="18"/>
      <c r="N20" s="41">
        <v>2030</v>
      </c>
      <c r="O20" s="40" t="s">
        <v>159</v>
      </c>
      <c r="P20" s="13" t="s">
        <v>36</v>
      </c>
      <c r="Q20" s="13">
        <v>2024</v>
      </c>
      <c r="R20" s="13" t="s">
        <v>36</v>
      </c>
      <c r="S20" s="13">
        <v>4</v>
      </c>
      <c r="T20" s="13" t="s">
        <v>344</v>
      </c>
      <c r="U20" s="13">
        <v>4</v>
      </c>
      <c r="V20" s="13"/>
      <c r="W20" s="13" t="s">
        <v>36</v>
      </c>
      <c r="X20" s="13">
        <f t="shared" ca="1" si="2"/>
        <v>12</v>
      </c>
    </row>
    <row r="21" spans="1:24" ht="30" x14ac:dyDescent="0.25">
      <c r="A21" s="128"/>
      <c r="B21" s="141" t="s">
        <v>162</v>
      </c>
      <c r="C21" s="159"/>
      <c r="D21" s="48" t="str">
        <f t="shared" si="0"/>
        <v/>
      </c>
      <c r="E21" s="48" t="str">
        <f t="shared" si="1"/>
        <v>Scenario APS - for 2040</v>
      </c>
      <c r="F21" s="76">
        <v>17.931034482758623</v>
      </c>
      <c r="G21" s="162"/>
      <c r="H21" s="162"/>
      <c r="I21" s="161"/>
      <c r="J21" s="13" t="s">
        <v>164</v>
      </c>
      <c r="K21" s="18" t="s">
        <v>158</v>
      </c>
      <c r="L21" s="41" t="s">
        <v>143</v>
      </c>
      <c r="M21" s="18"/>
      <c r="N21" s="41">
        <v>2040</v>
      </c>
      <c r="O21" s="40" t="s">
        <v>159</v>
      </c>
      <c r="P21" s="13" t="s">
        <v>36</v>
      </c>
      <c r="Q21" s="13">
        <v>2024</v>
      </c>
      <c r="R21" s="13" t="s">
        <v>36</v>
      </c>
      <c r="S21" s="13">
        <v>4</v>
      </c>
      <c r="T21" s="13" t="s">
        <v>344</v>
      </c>
      <c r="U21" s="13">
        <v>4</v>
      </c>
      <c r="V21" s="13"/>
      <c r="W21" s="13" t="s">
        <v>36</v>
      </c>
      <c r="X21" s="13">
        <f t="shared" ca="1" si="2"/>
        <v>12</v>
      </c>
    </row>
    <row r="22" spans="1:24" ht="30" x14ac:dyDescent="0.25">
      <c r="A22" s="128"/>
      <c r="B22" s="141" t="s">
        <v>162</v>
      </c>
      <c r="C22" s="159"/>
      <c r="D22" s="48" t="str">
        <f t="shared" si="0"/>
        <v/>
      </c>
      <c r="E22" s="48" t="str">
        <f t="shared" si="1"/>
        <v>Scenario APS - for 2050</v>
      </c>
      <c r="F22" s="76">
        <v>17.931034482758623</v>
      </c>
      <c r="G22" s="162"/>
      <c r="H22" s="162"/>
      <c r="I22" s="161"/>
      <c r="J22" s="13" t="s">
        <v>164</v>
      </c>
      <c r="K22" s="18" t="s">
        <v>158</v>
      </c>
      <c r="L22" s="41" t="s">
        <v>143</v>
      </c>
      <c r="M22" s="18"/>
      <c r="N22" s="41">
        <v>2050</v>
      </c>
      <c r="O22" s="40" t="s">
        <v>159</v>
      </c>
      <c r="P22" s="13" t="s">
        <v>36</v>
      </c>
      <c r="Q22" s="13">
        <v>2024</v>
      </c>
      <c r="R22" s="13" t="s">
        <v>36</v>
      </c>
      <c r="S22" s="13">
        <v>4</v>
      </c>
      <c r="T22" s="13" t="s">
        <v>344</v>
      </c>
      <c r="U22" s="13">
        <v>4</v>
      </c>
      <c r="V22" s="13"/>
      <c r="W22" s="13" t="s">
        <v>36</v>
      </c>
      <c r="X22" s="13">
        <f t="shared" ca="1" si="2"/>
        <v>12</v>
      </c>
    </row>
    <row r="23" spans="1:24" ht="30" x14ac:dyDescent="0.25">
      <c r="A23" s="128"/>
      <c r="B23" s="141" t="s">
        <v>165</v>
      </c>
      <c r="C23" s="159"/>
      <c r="D23" s="48" t="str">
        <f t="shared" si="0"/>
        <v/>
      </c>
      <c r="E23" s="48" t="str">
        <f t="shared" si="1"/>
        <v>Scenario NZE - for 2030</v>
      </c>
      <c r="F23" s="76">
        <v>15.17241379310345</v>
      </c>
      <c r="G23" s="162"/>
      <c r="H23" s="162"/>
      <c r="I23" s="161"/>
      <c r="J23" s="13" t="s">
        <v>166</v>
      </c>
      <c r="K23" s="18" t="s">
        <v>158</v>
      </c>
      <c r="L23" s="41" t="s">
        <v>143</v>
      </c>
      <c r="M23" s="18"/>
      <c r="N23" s="41">
        <v>2030</v>
      </c>
      <c r="O23" s="40" t="s">
        <v>159</v>
      </c>
      <c r="P23" s="13" t="s">
        <v>36</v>
      </c>
      <c r="Q23" s="13">
        <v>2024</v>
      </c>
      <c r="R23" s="13" t="s">
        <v>36</v>
      </c>
      <c r="S23" s="13">
        <v>4</v>
      </c>
      <c r="T23" s="13" t="s">
        <v>344</v>
      </c>
      <c r="U23" s="13">
        <v>3</v>
      </c>
      <c r="V23" s="120" t="s">
        <v>167</v>
      </c>
      <c r="W23" s="13" t="s">
        <v>36</v>
      </c>
      <c r="X23" s="13">
        <f t="shared" ca="1" si="2"/>
        <v>10</v>
      </c>
    </row>
    <row r="24" spans="1:24" ht="30" x14ac:dyDescent="0.25">
      <c r="A24" s="128"/>
      <c r="B24" s="141" t="s">
        <v>165</v>
      </c>
      <c r="C24" s="159"/>
      <c r="D24" s="48" t="str">
        <f t="shared" si="0"/>
        <v/>
      </c>
      <c r="E24" s="48" t="str">
        <f t="shared" si="1"/>
        <v>Scenario NZE - for 2040</v>
      </c>
      <c r="F24" s="76">
        <v>14.137931034482758</v>
      </c>
      <c r="G24" s="162"/>
      <c r="H24" s="162"/>
      <c r="I24" s="161"/>
      <c r="J24" s="13" t="s">
        <v>168</v>
      </c>
      <c r="K24" s="18" t="s">
        <v>158</v>
      </c>
      <c r="L24" s="41" t="s">
        <v>143</v>
      </c>
      <c r="M24" s="18"/>
      <c r="N24" s="41">
        <v>2040</v>
      </c>
      <c r="O24" s="40" t="s">
        <v>159</v>
      </c>
      <c r="P24" s="13" t="s">
        <v>36</v>
      </c>
      <c r="Q24" s="13">
        <v>2024</v>
      </c>
      <c r="R24" s="13" t="s">
        <v>36</v>
      </c>
      <c r="S24" s="13">
        <v>4</v>
      </c>
      <c r="T24" s="13" t="s">
        <v>344</v>
      </c>
      <c r="U24" s="13">
        <v>3</v>
      </c>
      <c r="V24" s="160"/>
      <c r="W24" s="13" t="s">
        <v>36</v>
      </c>
      <c r="X24" s="13">
        <f t="shared" ca="1" si="2"/>
        <v>10</v>
      </c>
    </row>
    <row r="25" spans="1:24" ht="30" x14ac:dyDescent="0.25">
      <c r="A25" s="125"/>
      <c r="B25" s="141" t="s">
        <v>165</v>
      </c>
      <c r="C25" s="159"/>
      <c r="D25" s="48" t="str">
        <f t="shared" si="0"/>
        <v/>
      </c>
      <c r="E25" s="48" t="str">
        <f t="shared" si="1"/>
        <v>Scenario NZE - for 2050</v>
      </c>
      <c r="F25" s="76">
        <v>13.793103448275863</v>
      </c>
      <c r="G25" s="162"/>
      <c r="H25" s="162"/>
      <c r="I25" s="161"/>
      <c r="J25" s="13" t="s">
        <v>169</v>
      </c>
      <c r="K25" s="18" t="s">
        <v>158</v>
      </c>
      <c r="L25" s="41" t="s">
        <v>143</v>
      </c>
      <c r="M25" s="18"/>
      <c r="N25" s="41">
        <v>2050</v>
      </c>
      <c r="O25" s="40" t="s">
        <v>159</v>
      </c>
      <c r="P25" s="13" t="s">
        <v>36</v>
      </c>
      <c r="Q25" s="13">
        <v>2024</v>
      </c>
      <c r="R25" s="13" t="s">
        <v>36</v>
      </c>
      <c r="S25" s="13">
        <v>4</v>
      </c>
      <c r="T25" s="13" t="s">
        <v>344</v>
      </c>
      <c r="U25" s="13">
        <v>3</v>
      </c>
      <c r="V25" s="121"/>
      <c r="W25" s="13" t="s">
        <v>36</v>
      </c>
      <c r="X25" s="13">
        <f t="shared" ca="1" si="2"/>
        <v>10</v>
      </c>
    </row>
    <row r="26" spans="1:24" ht="60" x14ac:dyDescent="0.25">
      <c r="A26" s="124" t="s">
        <v>170</v>
      </c>
      <c r="B26" s="141" t="s">
        <v>171</v>
      </c>
      <c r="C26" s="159"/>
      <c r="D26" s="48" t="str">
        <f t="shared" si="0"/>
        <v>European Commission</v>
      </c>
      <c r="E26" s="48" t="str">
        <f t="shared" si="1"/>
        <v>Recommended parameters for GHG projections - for 2030</v>
      </c>
      <c r="F26" s="13">
        <v>32.4</v>
      </c>
      <c r="G26" s="162" t="s">
        <v>172</v>
      </c>
      <c r="H26" s="162" t="s">
        <v>54</v>
      </c>
      <c r="I26" s="161" t="s">
        <v>173</v>
      </c>
      <c r="J26" s="13" t="s">
        <v>174</v>
      </c>
      <c r="K26" s="13" t="s">
        <v>175</v>
      </c>
      <c r="L26" s="100" t="s">
        <v>54</v>
      </c>
      <c r="M26" s="163"/>
      <c r="N26" s="41">
        <v>2030</v>
      </c>
      <c r="O26" s="40" t="s">
        <v>176</v>
      </c>
      <c r="P26" s="13" t="s">
        <v>36</v>
      </c>
      <c r="Q26" s="13">
        <v>2025</v>
      </c>
      <c r="R26" s="13" t="s">
        <v>36</v>
      </c>
      <c r="S26" s="13">
        <v>4</v>
      </c>
      <c r="T26" s="13" t="s">
        <v>384</v>
      </c>
      <c r="U26" s="13">
        <v>4</v>
      </c>
      <c r="V26" s="13"/>
      <c r="W26" s="13" t="s">
        <v>36</v>
      </c>
      <c r="X26" s="13">
        <f t="shared" ca="1" si="2"/>
        <v>12</v>
      </c>
    </row>
    <row r="27" spans="1:24" ht="28.9" customHeight="1" x14ac:dyDescent="0.25">
      <c r="A27" s="128"/>
      <c r="B27" s="141" t="s">
        <v>171</v>
      </c>
      <c r="C27" s="159"/>
      <c r="D27" s="48" t="str">
        <f t="shared" si="0"/>
        <v/>
      </c>
      <c r="E27" s="48" t="str">
        <f t="shared" si="1"/>
        <v>Recommended parameters for GHG projections - for 2040</v>
      </c>
      <c r="F27" s="13">
        <v>36.299999999999997</v>
      </c>
      <c r="G27" s="162"/>
      <c r="H27" s="162"/>
      <c r="I27" s="161"/>
      <c r="J27" s="13" t="s">
        <v>177</v>
      </c>
      <c r="K27" s="13" t="s">
        <v>175</v>
      </c>
      <c r="L27" s="100" t="s">
        <v>54</v>
      </c>
      <c r="M27" s="163"/>
      <c r="N27" s="41">
        <v>2040</v>
      </c>
      <c r="O27" s="40" t="s">
        <v>176</v>
      </c>
      <c r="P27" s="13" t="s">
        <v>36</v>
      </c>
      <c r="Q27" s="13">
        <v>2025</v>
      </c>
      <c r="R27" s="13" t="s">
        <v>36</v>
      </c>
      <c r="S27" s="13">
        <v>4</v>
      </c>
      <c r="T27" s="13" t="s">
        <v>384</v>
      </c>
      <c r="U27" s="13">
        <v>4</v>
      </c>
      <c r="V27" s="13"/>
      <c r="W27" s="13" t="s">
        <v>36</v>
      </c>
      <c r="X27" s="13">
        <f t="shared" ca="1" si="2"/>
        <v>12</v>
      </c>
    </row>
    <row r="28" spans="1:24" ht="28.9" customHeight="1" x14ac:dyDescent="0.25">
      <c r="A28" s="128"/>
      <c r="B28" s="141" t="s">
        <v>171</v>
      </c>
      <c r="C28" s="159"/>
      <c r="D28" s="48" t="str">
        <f t="shared" si="0"/>
        <v/>
      </c>
      <c r="E28" s="48" t="str">
        <f t="shared" si="1"/>
        <v>Recommended parameters for GHG projections - for 2050</v>
      </c>
      <c r="F28" s="13">
        <v>34.6</v>
      </c>
      <c r="G28" s="162"/>
      <c r="H28" s="162"/>
      <c r="I28" s="161"/>
      <c r="J28" s="13" t="s">
        <v>178</v>
      </c>
      <c r="K28" s="13" t="s">
        <v>175</v>
      </c>
      <c r="L28" s="100" t="s">
        <v>54</v>
      </c>
      <c r="M28" s="163"/>
      <c r="N28" s="41">
        <v>2050</v>
      </c>
      <c r="O28" s="40" t="s">
        <v>176</v>
      </c>
      <c r="P28" s="13" t="s">
        <v>36</v>
      </c>
      <c r="Q28" s="13">
        <v>2025</v>
      </c>
      <c r="R28" s="13" t="s">
        <v>36</v>
      </c>
      <c r="S28" s="13">
        <v>4</v>
      </c>
      <c r="T28" s="13" t="s">
        <v>384</v>
      </c>
      <c r="U28" s="13">
        <v>4</v>
      </c>
      <c r="V28" s="13"/>
      <c r="W28" s="13" t="s">
        <v>36</v>
      </c>
      <c r="X28" s="13">
        <f t="shared" ca="1" si="2"/>
        <v>12</v>
      </c>
    </row>
    <row r="29" spans="1:24" ht="28.9" customHeight="1" x14ac:dyDescent="0.25">
      <c r="A29" s="128"/>
      <c r="B29" s="14" t="s">
        <v>171</v>
      </c>
      <c r="C29" s="71" t="s">
        <v>179</v>
      </c>
      <c r="D29" s="48" t="str">
        <f t="shared" si="0"/>
        <v/>
      </c>
      <c r="E29" s="48" t="str">
        <f t="shared" si="1"/>
        <v>Recommended parameters for GHG projections - for 2030 (Lower bound)</v>
      </c>
      <c r="F29" s="13">
        <v>24.5</v>
      </c>
      <c r="G29" s="162"/>
      <c r="H29" s="162"/>
      <c r="I29" s="161"/>
      <c r="J29" s="13" t="s">
        <v>180</v>
      </c>
      <c r="K29" s="13" t="s">
        <v>175</v>
      </c>
      <c r="L29" s="100" t="s">
        <v>54</v>
      </c>
      <c r="M29" s="163"/>
      <c r="N29" s="41">
        <v>2030</v>
      </c>
      <c r="O29" s="40" t="s">
        <v>176</v>
      </c>
      <c r="P29" s="13" t="s">
        <v>36</v>
      </c>
      <c r="Q29" s="13">
        <v>2025</v>
      </c>
      <c r="R29" s="13" t="s">
        <v>36</v>
      </c>
      <c r="S29" s="13">
        <v>4</v>
      </c>
      <c r="T29" s="13" t="s">
        <v>384</v>
      </c>
      <c r="U29" s="13">
        <v>3</v>
      </c>
      <c r="V29" s="13" t="s">
        <v>181</v>
      </c>
      <c r="W29" s="13" t="s">
        <v>36</v>
      </c>
      <c r="X29" s="13">
        <f t="shared" ca="1" si="2"/>
        <v>10</v>
      </c>
    </row>
    <row r="30" spans="1:24" ht="60" x14ac:dyDescent="0.25">
      <c r="A30" s="128"/>
      <c r="B30" s="14" t="s">
        <v>171</v>
      </c>
      <c r="C30" s="71" t="s">
        <v>182</v>
      </c>
      <c r="D30" s="48" t="str">
        <f t="shared" si="0"/>
        <v/>
      </c>
      <c r="E30" s="48" t="str">
        <f t="shared" si="1"/>
        <v>Recommended parameters for GHG projections - for 2030 (Upper bound)</v>
      </c>
      <c r="F30" s="13">
        <v>45.4</v>
      </c>
      <c r="G30" s="162"/>
      <c r="H30" s="162"/>
      <c r="I30" s="161"/>
      <c r="J30" s="13" t="s">
        <v>183</v>
      </c>
      <c r="K30" s="13" t="s">
        <v>175</v>
      </c>
      <c r="L30" s="100" t="s">
        <v>54</v>
      </c>
      <c r="M30" s="163"/>
      <c r="N30" s="41">
        <v>2030</v>
      </c>
      <c r="O30" s="40" t="s">
        <v>176</v>
      </c>
      <c r="P30" s="13" t="s">
        <v>36</v>
      </c>
      <c r="Q30" s="13">
        <v>2025</v>
      </c>
      <c r="R30" s="13" t="s">
        <v>36</v>
      </c>
      <c r="S30" s="13">
        <v>4</v>
      </c>
      <c r="T30" s="13" t="s">
        <v>384</v>
      </c>
      <c r="U30" s="13">
        <v>3</v>
      </c>
      <c r="V30" s="13" t="s">
        <v>181</v>
      </c>
      <c r="W30" s="13" t="s">
        <v>36</v>
      </c>
      <c r="X30" s="13">
        <f t="shared" ca="1" si="2"/>
        <v>10</v>
      </c>
    </row>
    <row r="31" spans="1:24" ht="60" x14ac:dyDescent="0.25">
      <c r="A31" s="128"/>
      <c r="B31" s="14" t="s">
        <v>171</v>
      </c>
      <c r="C31" s="71" t="s">
        <v>179</v>
      </c>
      <c r="D31" s="48" t="str">
        <f t="shared" si="0"/>
        <v/>
      </c>
      <c r="E31" s="48" t="str">
        <f t="shared" si="1"/>
        <v>Recommended parameters for GHG projections - for 2040 (Lower bound)</v>
      </c>
      <c r="F31" s="13">
        <v>24.1</v>
      </c>
      <c r="G31" s="162"/>
      <c r="H31" s="162"/>
      <c r="I31" s="161"/>
      <c r="J31" s="13" t="s">
        <v>184</v>
      </c>
      <c r="K31" s="13" t="s">
        <v>175</v>
      </c>
      <c r="L31" s="100" t="s">
        <v>54</v>
      </c>
      <c r="M31" s="163"/>
      <c r="N31" s="41">
        <v>2040</v>
      </c>
      <c r="O31" s="40" t="s">
        <v>176</v>
      </c>
      <c r="P31" s="13" t="s">
        <v>36</v>
      </c>
      <c r="Q31" s="13">
        <v>2025</v>
      </c>
      <c r="R31" s="13" t="s">
        <v>36</v>
      </c>
      <c r="S31" s="13">
        <v>4</v>
      </c>
      <c r="T31" s="13" t="s">
        <v>384</v>
      </c>
      <c r="U31" s="13">
        <v>3</v>
      </c>
      <c r="V31" s="13" t="s">
        <v>181</v>
      </c>
      <c r="W31" s="13" t="s">
        <v>36</v>
      </c>
      <c r="X31" s="13">
        <f t="shared" ca="1" si="2"/>
        <v>10</v>
      </c>
    </row>
    <row r="32" spans="1:24" ht="60" x14ac:dyDescent="0.25">
      <c r="A32" s="128"/>
      <c r="B32" s="14" t="s">
        <v>171</v>
      </c>
      <c r="C32" s="71" t="s">
        <v>182</v>
      </c>
      <c r="D32" s="48" t="str">
        <f t="shared" si="0"/>
        <v/>
      </c>
      <c r="E32" s="48" t="str">
        <f t="shared" si="1"/>
        <v>Recommended parameters for GHG projections - for 2040 (Upper bound)</v>
      </c>
      <c r="F32" s="13">
        <v>45.4</v>
      </c>
      <c r="G32" s="162"/>
      <c r="H32" s="162"/>
      <c r="I32" s="161"/>
      <c r="J32" s="13" t="s">
        <v>183</v>
      </c>
      <c r="K32" s="13" t="s">
        <v>175</v>
      </c>
      <c r="L32" s="100" t="s">
        <v>54</v>
      </c>
      <c r="M32" s="163"/>
      <c r="N32" s="41">
        <v>2040</v>
      </c>
      <c r="O32" s="40" t="s">
        <v>176</v>
      </c>
      <c r="P32" s="13" t="s">
        <v>36</v>
      </c>
      <c r="Q32" s="13">
        <v>2025</v>
      </c>
      <c r="R32" s="13" t="s">
        <v>36</v>
      </c>
      <c r="S32" s="13">
        <v>4</v>
      </c>
      <c r="T32" s="13" t="s">
        <v>384</v>
      </c>
      <c r="U32" s="13">
        <v>3</v>
      </c>
      <c r="V32" s="13" t="s">
        <v>181</v>
      </c>
      <c r="W32" s="13" t="s">
        <v>36</v>
      </c>
      <c r="X32" s="13">
        <f t="shared" ca="1" si="2"/>
        <v>10</v>
      </c>
    </row>
    <row r="33" spans="1:24" ht="60" x14ac:dyDescent="0.25">
      <c r="A33" s="128"/>
      <c r="B33" s="14" t="s">
        <v>171</v>
      </c>
      <c r="C33" s="71" t="s">
        <v>179</v>
      </c>
      <c r="D33" s="48" t="str">
        <f t="shared" si="0"/>
        <v/>
      </c>
      <c r="E33" s="48" t="str">
        <f t="shared" si="1"/>
        <v>Recommended parameters for GHG projections - for 2050 (Lower bound)</v>
      </c>
      <c r="F33" s="13">
        <v>22</v>
      </c>
      <c r="G33" s="162"/>
      <c r="H33" s="162"/>
      <c r="I33" s="161"/>
      <c r="J33" s="13" t="s">
        <v>185</v>
      </c>
      <c r="K33" s="13" t="s">
        <v>175</v>
      </c>
      <c r="L33" s="100" t="s">
        <v>54</v>
      </c>
      <c r="M33" s="163"/>
      <c r="N33" s="41">
        <v>2050</v>
      </c>
      <c r="O33" s="40" t="s">
        <v>176</v>
      </c>
      <c r="P33" s="13" t="s">
        <v>36</v>
      </c>
      <c r="Q33" s="13">
        <v>2025</v>
      </c>
      <c r="R33" s="13" t="s">
        <v>36</v>
      </c>
      <c r="S33" s="13">
        <v>4</v>
      </c>
      <c r="T33" s="13" t="s">
        <v>384</v>
      </c>
      <c r="U33" s="13">
        <v>3</v>
      </c>
      <c r="V33" s="13" t="s">
        <v>181</v>
      </c>
      <c r="W33" s="13" t="s">
        <v>36</v>
      </c>
      <c r="X33" s="13">
        <f t="shared" ca="1" si="2"/>
        <v>10</v>
      </c>
    </row>
    <row r="34" spans="1:24" ht="60" x14ac:dyDescent="0.25">
      <c r="A34" s="125"/>
      <c r="B34" s="14" t="s">
        <v>171</v>
      </c>
      <c r="C34" s="71" t="s">
        <v>182</v>
      </c>
      <c r="D34" s="48" t="str">
        <f t="shared" si="0"/>
        <v/>
      </c>
      <c r="E34" s="48" t="str">
        <f t="shared" si="1"/>
        <v>Recommended parameters for GHG projections - for 2050 (Upper bound)</v>
      </c>
      <c r="F34" s="13">
        <v>47.5</v>
      </c>
      <c r="G34" s="162"/>
      <c r="H34" s="162"/>
      <c r="I34" s="161"/>
      <c r="J34" s="13" t="s">
        <v>186</v>
      </c>
      <c r="K34" s="13" t="s">
        <v>175</v>
      </c>
      <c r="L34" s="100" t="s">
        <v>54</v>
      </c>
      <c r="M34" s="163"/>
      <c r="N34" s="41">
        <v>2050</v>
      </c>
      <c r="O34" s="40" t="s">
        <v>176</v>
      </c>
      <c r="P34" s="13" t="s">
        <v>36</v>
      </c>
      <c r="Q34" s="13">
        <v>2025</v>
      </c>
      <c r="R34" s="13" t="s">
        <v>36</v>
      </c>
      <c r="S34" s="13">
        <v>4</v>
      </c>
      <c r="T34" s="13" t="s">
        <v>384</v>
      </c>
      <c r="U34" s="13">
        <v>3</v>
      </c>
      <c r="V34" s="13" t="s">
        <v>181</v>
      </c>
      <c r="W34" s="13" t="s">
        <v>36</v>
      </c>
      <c r="X34" s="13">
        <f t="shared" ca="1" si="2"/>
        <v>10</v>
      </c>
    </row>
    <row r="35" spans="1:24" ht="45" x14ac:dyDescent="0.25">
      <c r="A35" s="124" t="s">
        <v>187</v>
      </c>
      <c r="B35" s="141" t="s">
        <v>423</v>
      </c>
      <c r="C35" s="159"/>
      <c r="D35" s="48" t="str">
        <f t="shared" si="0"/>
        <v>Deloitte Canada</v>
      </c>
      <c r="E35" s="48" t="str">
        <f t="shared" si="1"/>
        <v>Report: Energy, oil, and gas price forecast  - for 2030</v>
      </c>
      <c r="F35" s="13">
        <f>0.9*4.5/0.3</f>
        <v>13.5</v>
      </c>
      <c r="G35" s="162" t="s">
        <v>188</v>
      </c>
      <c r="H35" s="162"/>
      <c r="I35" s="161" t="s">
        <v>189</v>
      </c>
      <c r="J35" s="13" t="s">
        <v>190</v>
      </c>
      <c r="K35" s="13" t="s">
        <v>191</v>
      </c>
      <c r="L35" s="41" t="s">
        <v>143</v>
      </c>
      <c r="M35" s="18" t="s">
        <v>192</v>
      </c>
      <c r="N35" s="41">
        <v>2030</v>
      </c>
      <c r="O35" s="20" t="s">
        <v>193</v>
      </c>
      <c r="P35" s="13" t="s">
        <v>36</v>
      </c>
      <c r="Q35" s="13">
        <v>2023</v>
      </c>
      <c r="R35" s="13" t="s">
        <v>36</v>
      </c>
      <c r="S35" s="13">
        <v>2</v>
      </c>
      <c r="T35" s="13" t="s">
        <v>399</v>
      </c>
      <c r="U35" s="13">
        <v>2</v>
      </c>
      <c r="V35" s="13" t="s">
        <v>194</v>
      </c>
      <c r="W35" s="13" t="s">
        <v>36</v>
      </c>
      <c r="X35" s="13">
        <f t="shared" ca="1" si="2"/>
        <v>6</v>
      </c>
    </row>
    <row r="36" spans="1:24" ht="45" x14ac:dyDescent="0.25">
      <c r="A36" s="128"/>
      <c r="B36" s="141" t="s">
        <v>423</v>
      </c>
      <c r="C36" s="159"/>
      <c r="D36" s="48" t="str">
        <f t="shared" si="0"/>
        <v/>
      </c>
      <c r="E36" s="48" t="str">
        <f t="shared" si="1"/>
        <v>Report: Energy, oil, and gas price forecast  - for 2030</v>
      </c>
      <c r="F36" s="13">
        <f>0.9*3.65/0.3</f>
        <v>10.950000000000001</v>
      </c>
      <c r="G36" s="162"/>
      <c r="H36" s="162"/>
      <c r="I36" s="161"/>
      <c r="J36" s="13" t="s">
        <v>195</v>
      </c>
      <c r="K36" s="13" t="s">
        <v>191</v>
      </c>
      <c r="L36" s="41" t="s">
        <v>143</v>
      </c>
      <c r="M36" s="18" t="s">
        <v>424</v>
      </c>
      <c r="N36" s="41">
        <v>2030</v>
      </c>
      <c r="O36" s="20" t="s">
        <v>193</v>
      </c>
      <c r="P36" s="13" t="s">
        <v>36</v>
      </c>
      <c r="Q36" s="13">
        <v>2023</v>
      </c>
      <c r="R36" s="13" t="s">
        <v>36</v>
      </c>
      <c r="S36" s="13">
        <v>2</v>
      </c>
      <c r="T36" s="13" t="s">
        <v>399</v>
      </c>
      <c r="U36" s="13">
        <v>2</v>
      </c>
      <c r="V36" s="13" t="s">
        <v>194</v>
      </c>
      <c r="W36" s="13" t="s">
        <v>36</v>
      </c>
      <c r="X36" s="13">
        <f t="shared" ca="1" si="2"/>
        <v>6</v>
      </c>
    </row>
    <row r="37" spans="1:24" ht="45" x14ac:dyDescent="0.25">
      <c r="A37" s="128"/>
      <c r="B37" s="141" t="s">
        <v>423</v>
      </c>
      <c r="C37" s="159"/>
      <c r="D37" s="48" t="str">
        <f t="shared" ref="D37:D51" si="3">IF(ISBLANK(A37), "", IF(ISBLANK(A38), A37, " "))</f>
        <v/>
      </c>
      <c r="E37" s="48" t="str">
        <f t="shared" ref="E37:E51" si="4">_xlfn.CONCAT(IF(D37=" ", _xlfn.CONCAT(A37, " - ", IF(ISBLANK(N37),B37,B37&amp;" - for "&amp;N37)), IF(ISBLANK(N37),B37,B37&amp;" - for "&amp;N37)),IF(ISBLANK(C37), "", _xlfn.CONCAT(" (",C37,")")))</f>
        <v>Report: Energy, oil, and gas price forecast  - for 2030</v>
      </c>
      <c r="F37" s="13">
        <f>0.9*4.3/0.3</f>
        <v>12.9</v>
      </c>
      <c r="G37" s="162"/>
      <c r="H37" s="162"/>
      <c r="I37" s="161"/>
      <c r="J37" s="13" t="s">
        <v>196</v>
      </c>
      <c r="K37" s="13" t="s">
        <v>191</v>
      </c>
      <c r="L37" s="41" t="s">
        <v>143</v>
      </c>
      <c r="M37" s="18" t="s">
        <v>197</v>
      </c>
      <c r="N37" s="41">
        <v>2030</v>
      </c>
      <c r="O37" s="20" t="s">
        <v>193</v>
      </c>
      <c r="P37" s="13" t="s">
        <v>36</v>
      </c>
      <c r="Q37" s="13">
        <v>2023</v>
      </c>
      <c r="R37" s="13" t="s">
        <v>36</v>
      </c>
      <c r="S37" s="13">
        <v>2</v>
      </c>
      <c r="T37" s="13" t="s">
        <v>399</v>
      </c>
      <c r="U37" s="13">
        <v>2</v>
      </c>
      <c r="V37" s="13" t="s">
        <v>194</v>
      </c>
      <c r="W37" s="13" t="s">
        <v>36</v>
      </c>
      <c r="X37" s="13">
        <f t="shared" ca="1" si="2"/>
        <v>6</v>
      </c>
    </row>
    <row r="38" spans="1:24" ht="45" x14ac:dyDescent="0.25">
      <c r="A38" s="128"/>
      <c r="B38" s="141" t="s">
        <v>423</v>
      </c>
      <c r="C38" s="159"/>
      <c r="D38" s="48" t="str">
        <f t="shared" si="3"/>
        <v/>
      </c>
      <c r="E38" s="48" t="str">
        <f t="shared" si="4"/>
        <v>Report: Energy, oil, and gas price forecast  - for 2030</v>
      </c>
      <c r="F38" s="13">
        <f>0.9*4.3/0.3</f>
        <v>12.9</v>
      </c>
      <c r="G38" s="162"/>
      <c r="H38" s="162"/>
      <c r="I38" s="161"/>
      <c r="J38" s="13" t="s">
        <v>196</v>
      </c>
      <c r="K38" s="13" t="s">
        <v>191</v>
      </c>
      <c r="L38" s="41" t="s">
        <v>143</v>
      </c>
      <c r="M38" s="18" t="s">
        <v>198</v>
      </c>
      <c r="N38" s="41">
        <v>2030</v>
      </c>
      <c r="O38" s="20" t="s">
        <v>193</v>
      </c>
      <c r="P38" s="13" t="s">
        <v>36</v>
      </c>
      <c r="Q38" s="13">
        <v>2023</v>
      </c>
      <c r="R38" s="13" t="s">
        <v>36</v>
      </c>
      <c r="S38" s="13">
        <v>2</v>
      </c>
      <c r="T38" s="13" t="s">
        <v>399</v>
      </c>
      <c r="U38" s="13">
        <v>2</v>
      </c>
      <c r="V38" s="13" t="s">
        <v>194</v>
      </c>
      <c r="W38" s="13" t="s">
        <v>36</v>
      </c>
      <c r="X38" s="13">
        <f t="shared" ca="1" si="2"/>
        <v>6</v>
      </c>
    </row>
    <row r="39" spans="1:24" ht="45" x14ac:dyDescent="0.25">
      <c r="A39" s="128"/>
      <c r="B39" s="141" t="s">
        <v>423</v>
      </c>
      <c r="C39" s="159"/>
      <c r="D39" s="48" t="str">
        <f>IF(ISBLANK(A39), "", IF(ISBLANK(#REF!), A39, " "))</f>
        <v/>
      </c>
      <c r="E39" s="48" t="str">
        <f t="shared" si="4"/>
        <v>Report: Energy, oil, and gas price forecast  - for 2030</v>
      </c>
      <c r="F39" s="13">
        <f>0.9*10.7/0.3</f>
        <v>32.1</v>
      </c>
      <c r="G39" s="162"/>
      <c r="H39" s="162"/>
      <c r="I39" s="161"/>
      <c r="J39" s="13" t="s">
        <v>199</v>
      </c>
      <c r="K39" s="13" t="s">
        <v>191</v>
      </c>
      <c r="L39" s="41" t="s">
        <v>143</v>
      </c>
      <c r="M39" s="18" t="s">
        <v>200</v>
      </c>
      <c r="N39" s="41">
        <v>2030</v>
      </c>
      <c r="O39" s="20" t="s">
        <v>193</v>
      </c>
      <c r="P39" s="13" t="s">
        <v>36</v>
      </c>
      <c r="Q39" s="13">
        <v>2023</v>
      </c>
      <c r="R39" s="13" t="s">
        <v>36</v>
      </c>
      <c r="S39" s="13">
        <v>2</v>
      </c>
      <c r="T39" s="13" t="s">
        <v>399</v>
      </c>
      <c r="U39" s="13">
        <v>2</v>
      </c>
      <c r="V39" s="13" t="s">
        <v>194</v>
      </c>
      <c r="W39" s="13" t="s">
        <v>36</v>
      </c>
      <c r="X39" s="13">
        <f t="shared" ca="1" si="2"/>
        <v>6</v>
      </c>
    </row>
    <row r="40" spans="1:24" ht="45" x14ac:dyDescent="0.25">
      <c r="A40" s="128"/>
      <c r="B40" s="141" t="s">
        <v>423</v>
      </c>
      <c r="C40" s="159"/>
      <c r="D40" s="48" t="str">
        <f>IF(ISBLANK(A40), "", IF(ISBLANK(#REF!), A40, " "))</f>
        <v/>
      </c>
      <c r="E40" s="48" t="str">
        <f t="shared" si="4"/>
        <v>Report: Energy, oil, and gas price forecast  - for 2030</v>
      </c>
      <c r="F40" s="13">
        <f>0.9*7.85/0.3</f>
        <v>23.55</v>
      </c>
      <c r="G40" s="162"/>
      <c r="H40" s="162"/>
      <c r="I40" s="161"/>
      <c r="J40" s="13" t="s">
        <v>201</v>
      </c>
      <c r="K40" s="13" t="s">
        <v>191</v>
      </c>
      <c r="L40" s="41" t="s">
        <v>143</v>
      </c>
      <c r="M40" s="18" t="s">
        <v>202</v>
      </c>
      <c r="N40" s="41">
        <v>2030</v>
      </c>
      <c r="O40" s="20" t="s">
        <v>193</v>
      </c>
      <c r="P40" s="13" t="s">
        <v>36</v>
      </c>
      <c r="Q40" s="13">
        <v>2023</v>
      </c>
      <c r="R40" s="13" t="s">
        <v>36</v>
      </c>
      <c r="S40" s="13">
        <v>2</v>
      </c>
      <c r="T40" s="13" t="s">
        <v>399</v>
      </c>
      <c r="U40" s="13">
        <v>2</v>
      </c>
      <c r="V40" s="13" t="s">
        <v>194</v>
      </c>
      <c r="W40" s="13" t="s">
        <v>36</v>
      </c>
      <c r="X40" s="13">
        <f t="shared" ca="1" si="2"/>
        <v>6</v>
      </c>
    </row>
    <row r="41" spans="1:24" ht="45" x14ac:dyDescent="0.25">
      <c r="A41" s="37" t="s">
        <v>203</v>
      </c>
      <c r="B41" s="141" t="s">
        <v>204</v>
      </c>
      <c r="C41" s="159"/>
      <c r="D41" s="48" t="str">
        <f>IF(ISBLANK(A41), "", IF(ISBLANK(#REF!), A41, " "))</f>
        <v xml:space="preserve"> </v>
      </c>
      <c r="E41" s="48" t="str">
        <f t="shared" si="4"/>
        <v>Elia - Adequacy and Flexibility study 2024-2034 - CENTRAL scenario and data - for 2030</v>
      </c>
      <c r="F41" s="13">
        <v>24.9</v>
      </c>
      <c r="G41" s="13" t="s">
        <v>205</v>
      </c>
      <c r="H41" s="13" t="s">
        <v>206</v>
      </c>
      <c r="I41" s="82" t="s">
        <v>207</v>
      </c>
      <c r="J41" s="13" t="s">
        <v>208</v>
      </c>
      <c r="K41" s="13" t="s">
        <v>54</v>
      </c>
      <c r="L41" s="41" t="s">
        <v>143</v>
      </c>
      <c r="M41" s="18" t="s">
        <v>209</v>
      </c>
      <c r="N41" s="41">
        <v>2030</v>
      </c>
      <c r="O41" s="99" t="s">
        <v>54</v>
      </c>
      <c r="P41" s="13" t="s">
        <v>36</v>
      </c>
      <c r="Q41" s="13">
        <v>2023</v>
      </c>
      <c r="R41" s="13" t="s">
        <v>70</v>
      </c>
      <c r="S41" s="13">
        <v>3</v>
      </c>
      <c r="T41" s="13" t="s">
        <v>396</v>
      </c>
      <c r="U41" s="13">
        <v>4</v>
      </c>
      <c r="V41" s="13"/>
      <c r="W41" s="13" t="s">
        <v>36</v>
      </c>
      <c r="X41" s="13">
        <f t="shared" ca="1" si="2"/>
        <v>0</v>
      </c>
    </row>
    <row r="42" spans="1:24" ht="30" x14ac:dyDescent="0.25">
      <c r="A42" s="124" t="s">
        <v>210</v>
      </c>
      <c r="B42" s="141" t="s">
        <v>211</v>
      </c>
      <c r="C42" s="159"/>
      <c r="D42" s="48" t="str">
        <f t="shared" si="3"/>
        <v>Enerdata, Asian and European gas prices will converge by 2030, Executive Brief</v>
      </c>
      <c r="E42" s="48" t="str">
        <f t="shared" si="4"/>
        <v>NDC based scenario - for 2030</v>
      </c>
      <c r="F42" s="13">
        <v>24.6</v>
      </c>
      <c r="G42" s="120" t="s">
        <v>212</v>
      </c>
      <c r="H42" s="162" t="s">
        <v>213</v>
      </c>
      <c r="I42" s="161" t="s">
        <v>214</v>
      </c>
      <c r="J42" s="13" t="s">
        <v>215</v>
      </c>
      <c r="K42" s="13" t="s">
        <v>54</v>
      </c>
      <c r="L42" s="41" t="s">
        <v>143</v>
      </c>
      <c r="M42" s="18"/>
      <c r="N42" s="41">
        <v>2030</v>
      </c>
      <c r="O42" s="40" t="s">
        <v>55</v>
      </c>
      <c r="P42" s="13" t="s">
        <v>36</v>
      </c>
      <c r="Q42" s="13">
        <v>2018</v>
      </c>
      <c r="R42" s="13" t="s">
        <v>36</v>
      </c>
      <c r="S42" s="13">
        <v>2</v>
      </c>
      <c r="T42" s="13" t="s">
        <v>399</v>
      </c>
      <c r="U42" s="13">
        <v>4</v>
      </c>
      <c r="V42" s="13"/>
      <c r="W42" s="13" t="s">
        <v>36</v>
      </c>
      <c r="X42" s="13">
        <f t="shared" ca="1" si="2"/>
        <v>0</v>
      </c>
    </row>
    <row r="43" spans="1:24" ht="60" x14ac:dyDescent="0.25">
      <c r="A43" s="128"/>
      <c r="B43" s="141" t="s">
        <v>211</v>
      </c>
      <c r="C43" s="159"/>
      <c r="D43" s="48" t="str">
        <f t="shared" si="3"/>
        <v/>
      </c>
      <c r="E43" s="48" t="str">
        <f t="shared" si="4"/>
        <v>NDC based scenario - for 2030</v>
      </c>
      <c r="F43" s="13">
        <v>15.4</v>
      </c>
      <c r="G43" s="160"/>
      <c r="H43" s="162"/>
      <c r="I43" s="161"/>
      <c r="J43" s="13" t="s">
        <v>216</v>
      </c>
      <c r="K43" s="13" t="s">
        <v>54</v>
      </c>
      <c r="L43" s="41" t="s">
        <v>143</v>
      </c>
      <c r="M43" s="18"/>
      <c r="N43" s="41">
        <v>2030</v>
      </c>
      <c r="O43" s="20" t="s">
        <v>194</v>
      </c>
      <c r="P43" s="13" t="s">
        <v>36</v>
      </c>
      <c r="Q43" s="13">
        <v>2018</v>
      </c>
      <c r="R43" s="13" t="s">
        <v>36</v>
      </c>
      <c r="S43" s="13">
        <v>2</v>
      </c>
      <c r="T43" s="13" t="s">
        <v>399</v>
      </c>
      <c r="U43" s="13">
        <v>2</v>
      </c>
      <c r="V43" s="13" t="s">
        <v>217</v>
      </c>
      <c r="W43" s="13" t="s">
        <v>36</v>
      </c>
      <c r="X43" s="13">
        <f t="shared" ca="1" si="2"/>
        <v>0</v>
      </c>
    </row>
    <row r="44" spans="1:24" ht="60" x14ac:dyDescent="0.25">
      <c r="A44" s="128"/>
      <c r="B44" s="141" t="s">
        <v>211</v>
      </c>
      <c r="C44" s="159"/>
      <c r="D44" s="48" t="str">
        <f t="shared" si="3"/>
        <v/>
      </c>
      <c r="E44" s="48" t="str">
        <f t="shared" si="4"/>
        <v>NDC based scenario - for 2030</v>
      </c>
      <c r="F44" s="13">
        <v>24.6</v>
      </c>
      <c r="G44" s="160"/>
      <c r="H44" s="162"/>
      <c r="I44" s="161"/>
      <c r="J44" s="13" t="s">
        <v>215</v>
      </c>
      <c r="K44" s="13" t="s">
        <v>54</v>
      </c>
      <c r="L44" s="41" t="s">
        <v>143</v>
      </c>
      <c r="M44" s="18"/>
      <c r="N44" s="41">
        <v>2030</v>
      </c>
      <c r="O44" s="20" t="s">
        <v>218</v>
      </c>
      <c r="P44" s="13" t="s">
        <v>36</v>
      </c>
      <c r="Q44" s="13">
        <v>2018</v>
      </c>
      <c r="R44" s="13" t="s">
        <v>36</v>
      </c>
      <c r="S44" s="13">
        <v>2</v>
      </c>
      <c r="T44" s="13" t="s">
        <v>399</v>
      </c>
      <c r="U44" s="13">
        <v>2</v>
      </c>
      <c r="V44" s="13" t="s">
        <v>217</v>
      </c>
      <c r="W44" s="13" t="s">
        <v>36</v>
      </c>
      <c r="X44" s="13">
        <f t="shared" ca="1" si="2"/>
        <v>0</v>
      </c>
    </row>
    <row r="45" spans="1:24" ht="30" x14ac:dyDescent="0.25">
      <c r="A45" s="128"/>
      <c r="B45" s="141" t="s">
        <v>211</v>
      </c>
      <c r="C45" s="159"/>
      <c r="D45" s="48" t="str">
        <f t="shared" si="3"/>
        <v/>
      </c>
      <c r="E45" s="48" t="str">
        <f t="shared" si="4"/>
        <v>NDC based scenario - for 2040</v>
      </c>
      <c r="F45" s="13">
        <v>30.7</v>
      </c>
      <c r="G45" s="160"/>
      <c r="H45" s="162"/>
      <c r="I45" s="161"/>
      <c r="J45" s="13" t="s">
        <v>219</v>
      </c>
      <c r="K45" s="13" t="s">
        <v>54</v>
      </c>
      <c r="L45" s="41" t="s">
        <v>143</v>
      </c>
      <c r="M45" s="18"/>
      <c r="N45" s="41">
        <v>2040</v>
      </c>
      <c r="O45" s="40" t="s">
        <v>55</v>
      </c>
      <c r="P45" s="13" t="s">
        <v>36</v>
      </c>
      <c r="Q45" s="13">
        <v>2018</v>
      </c>
      <c r="R45" s="13" t="s">
        <v>36</v>
      </c>
      <c r="S45" s="13">
        <v>2</v>
      </c>
      <c r="T45" s="13" t="s">
        <v>399</v>
      </c>
      <c r="U45" s="13">
        <v>4</v>
      </c>
      <c r="V45" s="13"/>
      <c r="W45" s="13" t="s">
        <v>36</v>
      </c>
      <c r="X45" s="13">
        <f t="shared" ca="1" si="2"/>
        <v>0</v>
      </c>
    </row>
    <row r="46" spans="1:24" ht="60" x14ac:dyDescent="0.25">
      <c r="A46" s="128"/>
      <c r="B46" s="141" t="s">
        <v>211</v>
      </c>
      <c r="C46" s="159"/>
      <c r="D46" s="48" t="str">
        <f t="shared" si="3"/>
        <v/>
      </c>
      <c r="E46" s="48" t="str">
        <f t="shared" si="4"/>
        <v>NDC based scenario - for 2040</v>
      </c>
      <c r="F46" s="13">
        <v>18.399999999999999</v>
      </c>
      <c r="G46" s="160"/>
      <c r="H46" s="162"/>
      <c r="I46" s="161"/>
      <c r="J46" s="13" t="s">
        <v>220</v>
      </c>
      <c r="K46" s="13" t="s">
        <v>54</v>
      </c>
      <c r="L46" s="41" t="s">
        <v>143</v>
      </c>
      <c r="M46" s="18"/>
      <c r="N46" s="41">
        <v>2040</v>
      </c>
      <c r="O46" s="20" t="s">
        <v>194</v>
      </c>
      <c r="P46" s="13" t="s">
        <v>36</v>
      </c>
      <c r="Q46" s="13">
        <v>2018</v>
      </c>
      <c r="R46" s="13" t="s">
        <v>36</v>
      </c>
      <c r="S46" s="13">
        <v>2</v>
      </c>
      <c r="T46" s="13" t="s">
        <v>399</v>
      </c>
      <c r="U46" s="13">
        <v>2</v>
      </c>
      <c r="V46" s="13" t="s">
        <v>217</v>
      </c>
      <c r="W46" s="13" t="s">
        <v>36</v>
      </c>
      <c r="X46" s="13">
        <f t="shared" ca="1" si="2"/>
        <v>0</v>
      </c>
    </row>
    <row r="47" spans="1:24" ht="60" x14ac:dyDescent="0.25">
      <c r="A47" s="125"/>
      <c r="B47" s="141" t="s">
        <v>211</v>
      </c>
      <c r="C47" s="159"/>
      <c r="D47" s="48" t="str">
        <f>IF(ISBLANK(A47), "", IF(ISBLANK(#REF!), A47, " "))</f>
        <v/>
      </c>
      <c r="E47" s="48" t="str">
        <f t="shared" si="4"/>
        <v>NDC based scenario - for 2040</v>
      </c>
      <c r="F47" s="13">
        <v>27.6</v>
      </c>
      <c r="G47" s="121"/>
      <c r="H47" s="162"/>
      <c r="I47" s="161"/>
      <c r="J47" s="13" t="s">
        <v>221</v>
      </c>
      <c r="K47" s="13" t="s">
        <v>54</v>
      </c>
      <c r="L47" s="41" t="s">
        <v>143</v>
      </c>
      <c r="M47" s="18"/>
      <c r="N47" s="41">
        <v>2040</v>
      </c>
      <c r="O47" s="20" t="s">
        <v>218</v>
      </c>
      <c r="P47" s="13" t="s">
        <v>36</v>
      </c>
      <c r="Q47" s="13">
        <v>2018</v>
      </c>
      <c r="R47" s="13" t="s">
        <v>36</v>
      </c>
      <c r="S47" s="13">
        <v>2</v>
      </c>
      <c r="T47" s="13" t="s">
        <v>399</v>
      </c>
      <c r="U47" s="13">
        <v>2</v>
      </c>
      <c r="V47" s="13" t="s">
        <v>217</v>
      </c>
      <c r="W47" s="13" t="s">
        <v>36</v>
      </c>
      <c r="X47" s="13">
        <f t="shared" ca="1" si="2"/>
        <v>0</v>
      </c>
    </row>
    <row r="48" spans="1:24" ht="45" x14ac:dyDescent="0.25">
      <c r="A48" s="18" t="s">
        <v>222</v>
      </c>
      <c r="B48" s="134" t="s">
        <v>223</v>
      </c>
      <c r="C48" s="135"/>
      <c r="D48" s="48" t="str">
        <f t="shared" si="3"/>
        <v xml:space="preserve"> </v>
      </c>
      <c r="E48" s="48" t="str">
        <f t="shared" si="4"/>
        <v>U.S. Energy Information Administration - Short-Term Energy Outlook, May 2025 - for 2026</v>
      </c>
      <c r="F48" s="12">
        <v>14.7</v>
      </c>
      <c r="G48" s="12" t="s">
        <v>224</v>
      </c>
      <c r="H48" s="23"/>
      <c r="I48" s="83" t="s">
        <v>225</v>
      </c>
      <c r="J48" s="13" t="s">
        <v>226</v>
      </c>
      <c r="K48" s="13" t="s">
        <v>54</v>
      </c>
      <c r="L48" s="41" t="s">
        <v>143</v>
      </c>
      <c r="M48" s="18" t="s">
        <v>227</v>
      </c>
      <c r="N48" s="20">
        <v>2026</v>
      </c>
      <c r="O48" s="62" t="s">
        <v>55</v>
      </c>
      <c r="P48" s="13" t="s">
        <v>36</v>
      </c>
      <c r="Q48" s="13">
        <v>2025</v>
      </c>
      <c r="R48" s="13" t="s">
        <v>36</v>
      </c>
      <c r="S48" s="13">
        <v>4</v>
      </c>
      <c r="T48" s="13" t="s">
        <v>397</v>
      </c>
      <c r="U48" s="13">
        <v>2</v>
      </c>
      <c r="V48" s="13" t="s">
        <v>228</v>
      </c>
      <c r="W48" s="13" t="s">
        <v>36</v>
      </c>
      <c r="X48" s="13">
        <f t="shared" ca="1" si="2"/>
        <v>8</v>
      </c>
    </row>
    <row r="49" spans="1:24" ht="45" x14ac:dyDescent="0.25">
      <c r="A49" s="124" t="s">
        <v>229</v>
      </c>
      <c r="B49" s="164" t="s">
        <v>230</v>
      </c>
      <c r="C49" s="165"/>
      <c r="D49" s="48" t="str">
        <f t="shared" si="3"/>
        <v>ICE Endex, Dutch TTF Natural Gas Futures</v>
      </c>
      <c r="E49" s="48" t="str">
        <f t="shared" si="4"/>
        <v>Mean traded value on the 2 years market from January 2025 to May 2025 for Summer 2028 - for 2028</v>
      </c>
      <c r="F49" s="13">
        <v>25</v>
      </c>
      <c r="G49" s="120" t="s">
        <v>231</v>
      </c>
      <c r="H49" s="168"/>
      <c r="I49" s="161" t="s">
        <v>232</v>
      </c>
      <c r="J49" s="13" t="s">
        <v>233</v>
      </c>
      <c r="K49" s="13" t="s">
        <v>175</v>
      </c>
      <c r="L49" s="41" t="s">
        <v>143</v>
      </c>
      <c r="M49" s="18" t="s">
        <v>234</v>
      </c>
      <c r="N49" s="20">
        <v>2028</v>
      </c>
      <c r="O49" s="62" t="s">
        <v>55</v>
      </c>
      <c r="P49" s="13" t="s">
        <v>36</v>
      </c>
      <c r="Q49" s="13">
        <v>2025</v>
      </c>
      <c r="R49" s="13" t="s">
        <v>36</v>
      </c>
      <c r="S49" s="13">
        <v>4</v>
      </c>
      <c r="T49" s="13" t="s">
        <v>398</v>
      </c>
      <c r="U49" s="13">
        <v>3</v>
      </c>
      <c r="V49" s="13" t="s">
        <v>235</v>
      </c>
      <c r="W49" s="13" t="s">
        <v>36</v>
      </c>
      <c r="X49" s="13">
        <f t="shared" ca="1" si="2"/>
        <v>10</v>
      </c>
    </row>
    <row r="50" spans="1:24" ht="45" x14ac:dyDescent="0.25">
      <c r="A50" s="128"/>
      <c r="B50" s="164" t="s">
        <v>236</v>
      </c>
      <c r="C50" s="165"/>
      <c r="D50" s="48" t="str">
        <f t="shared" si="3"/>
        <v/>
      </c>
      <c r="E50" s="48" t="str">
        <f t="shared" si="4"/>
        <v>Mean traded value on the 2 years market from January 2025 to May 2025 for Winter 2028 - for 2028</v>
      </c>
      <c r="F50" s="13">
        <v>34</v>
      </c>
      <c r="G50" s="160"/>
      <c r="H50" s="169"/>
      <c r="I50" s="161"/>
      <c r="J50" s="13" t="s">
        <v>237</v>
      </c>
      <c r="K50" s="13" t="s">
        <v>175</v>
      </c>
      <c r="L50" s="41" t="s">
        <v>143</v>
      </c>
      <c r="M50" s="18" t="s">
        <v>234</v>
      </c>
      <c r="N50" s="20">
        <v>2028</v>
      </c>
      <c r="O50" s="62" t="s">
        <v>55</v>
      </c>
      <c r="P50" s="13" t="s">
        <v>36</v>
      </c>
      <c r="Q50" s="13">
        <v>2025</v>
      </c>
      <c r="R50" s="13" t="s">
        <v>36</v>
      </c>
      <c r="S50" s="13">
        <v>4</v>
      </c>
      <c r="T50" s="13" t="s">
        <v>398</v>
      </c>
      <c r="U50" s="13">
        <v>2</v>
      </c>
      <c r="V50" s="13" t="s">
        <v>235</v>
      </c>
      <c r="W50" s="13" t="s">
        <v>36</v>
      </c>
      <c r="X50" s="13">
        <f t="shared" ca="1" si="2"/>
        <v>8</v>
      </c>
    </row>
    <row r="51" spans="1:24" ht="45" x14ac:dyDescent="0.25">
      <c r="A51" s="125"/>
      <c r="B51" s="164" t="s">
        <v>238</v>
      </c>
      <c r="C51" s="165"/>
      <c r="D51" s="48" t="str">
        <f t="shared" si="3"/>
        <v/>
      </c>
      <c r="E51" s="48" t="str">
        <f t="shared" si="4"/>
        <v>Mean traded value on the intraday market from January 2025 to May 2025 for Winter 2025 - for 2025</v>
      </c>
      <c r="F51" s="13">
        <v>38</v>
      </c>
      <c r="G51" s="121"/>
      <c r="H51" s="170"/>
      <c r="I51" s="161"/>
      <c r="J51" s="13" t="s">
        <v>239</v>
      </c>
      <c r="K51" s="13" t="s">
        <v>175</v>
      </c>
      <c r="L51" s="41" t="s">
        <v>143</v>
      </c>
      <c r="M51" s="18" t="s">
        <v>234</v>
      </c>
      <c r="N51" s="20">
        <v>2025</v>
      </c>
      <c r="O51" s="62" t="s">
        <v>55</v>
      </c>
      <c r="P51" s="13" t="s">
        <v>36</v>
      </c>
      <c r="Q51" s="13">
        <v>2025</v>
      </c>
      <c r="R51" s="13" t="s">
        <v>36</v>
      </c>
      <c r="S51" s="13">
        <v>4</v>
      </c>
      <c r="T51" s="13" t="s">
        <v>398</v>
      </c>
      <c r="U51" s="13">
        <v>1</v>
      </c>
      <c r="V51" s="13" t="s">
        <v>240</v>
      </c>
      <c r="W51" s="13" t="s">
        <v>36</v>
      </c>
      <c r="X51" s="13">
        <f t="shared" ca="1" si="2"/>
        <v>6</v>
      </c>
    </row>
  </sheetData>
  <autoFilter ref="A4:X51" xr:uid="{30F4403B-929B-44EC-8A51-A3F544BD2FDC}">
    <filterColumn colId="1" showButton="0"/>
  </autoFilter>
  <mergeCells count="73">
    <mergeCell ref="K3:P3"/>
    <mergeCell ref="Q3:R3"/>
    <mergeCell ref="X2:X3"/>
    <mergeCell ref="B20:C20"/>
    <mergeCell ref="B21:C21"/>
    <mergeCell ref="B9:C9"/>
    <mergeCell ref="B10:C10"/>
    <mergeCell ref="B11:C11"/>
    <mergeCell ref="B12:C12"/>
    <mergeCell ref="B22:C22"/>
    <mergeCell ref="B41:C41"/>
    <mergeCell ref="B42:C42"/>
    <mergeCell ref="B39:C39"/>
    <mergeCell ref="B4:C4"/>
    <mergeCell ref="B26:C26"/>
    <mergeCell ref="B27:C27"/>
    <mergeCell ref="B28:C28"/>
    <mergeCell ref="B35:C35"/>
    <mergeCell ref="B23:C23"/>
    <mergeCell ref="B24:C24"/>
    <mergeCell ref="B25:C25"/>
    <mergeCell ref="B5:C5"/>
    <mergeCell ref="B6:C6"/>
    <mergeCell ref="B7:C7"/>
    <mergeCell ref="B8:C8"/>
    <mergeCell ref="B46:C46"/>
    <mergeCell ref="A49:A51"/>
    <mergeCell ref="A17:A25"/>
    <mergeCell ref="A5:A16"/>
    <mergeCell ref="A35:A40"/>
    <mergeCell ref="A42:A47"/>
    <mergeCell ref="A26:A34"/>
    <mergeCell ref="B51:C51"/>
    <mergeCell ref="B13:C13"/>
    <mergeCell ref="B14:C14"/>
    <mergeCell ref="B15:C15"/>
    <mergeCell ref="B16:C16"/>
    <mergeCell ref="B17:C17"/>
    <mergeCell ref="B18:C18"/>
    <mergeCell ref="B19:C19"/>
    <mergeCell ref="B43:C43"/>
    <mergeCell ref="B50:C50"/>
    <mergeCell ref="H14:H16"/>
    <mergeCell ref="I5:I16"/>
    <mergeCell ref="I35:I40"/>
    <mergeCell ref="H11:H13"/>
    <mergeCell ref="H5:H10"/>
    <mergeCell ref="G42:G47"/>
    <mergeCell ref="G49:G51"/>
    <mergeCell ref="H49:H51"/>
    <mergeCell ref="G5:G16"/>
    <mergeCell ref="I26:I34"/>
    <mergeCell ref="G26:G34"/>
    <mergeCell ref="I17:I25"/>
    <mergeCell ref="G17:G25"/>
    <mergeCell ref="B49:C49"/>
    <mergeCell ref="B45:C45"/>
    <mergeCell ref="B47:C47"/>
    <mergeCell ref="B44:C44"/>
    <mergeCell ref="B40:C40"/>
    <mergeCell ref="V23:V25"/>
    <mergeCell ref="I49:I51"/>
    <mergeCell ref="G35:G40"/>
    <mergeCell ref="H35:H40"/>
    <mergeCell ref="H26:H34"/>
    <mergeCell ref="M26:M34"/>
    <mergeCell ref="I42:I47"/>
    <mergeCell ref="H17:H25"/>
    <mergeCell ref="H42:H47"/>
    <mergeCell ref="B36:C36"/>
    <mergeCell ref="B37:C37"/>
    <mergeCell ref="B38:C38"/>
    <mergeCell ref="B48:C48"/>
  </mergeCells>
  <phoneticPr fontId="5" type="noConversion"/>
  <conditionalFormatting sqref="Q5:Q51">
    <cfRule type="cellIs" dxfId="18" priority="2" operator="lessThan">
      <formula>2019</formula>
    </cfRule>
  </conditionalFormatting>
  <conditionalFormatting sqref="R5:X10 P5:Q51 U11:X16 R11:S51 U17:W23 U24:U25 W24:W25 U26:W51">
    <cfRule type="cellIs" dxfId="17" priority="3" operator="equal">
      <formula>"No"</formula>
    </cfRule>
    <cfRule type="containsText" dxfId="16" priority="4" operator="containsText" text="Yes">
      <formula>NOT(ISERROR(SEARCH("Yes",P5)))</formula>
    </cfRule>
  </conditionalFormatting>
  <conditionalFormatting sqref="S5:V10 U26:V51 U24:U25 S11:S51 U11:V23">
    <cfRule type="colorScale" priority="596">
      <colorScale>
        <cfvo type="min"/>
        <cfvo type="percentile" val="50"/>
        <cfvo type="max"/>
        <color rgb="FFFFC7CE"/>
        <color rgb="FFFFEB9C"/>
        <color rgb="FFC6EFCE"/>
      </colorScale>
    </cfRule>
  </conditionalFormatting>
  <conditionalFormatting sqref="X5:X16">
    <cfRule type="colorScale" priority="600">
      <colorScale>
        <cfvo type="min"/>
        <cfvo type="percentile" val="50"/>
        <cfvo type="max"/>
        <color rgb="FFFFC7CE"/>
        <color rgb="FFFFEB9C"/>
        <color rgb="FFC6EFCE"/>
      </colorScale>
    </cfRule>
  </conditionalFormatting>
  <conditionalFormatting sqref="X17:X51">
    <cfRule type="colorScale" priority="1">
      <colorScale>
        <cfvo type="min"/>
        <cfvo type="percentile" val="50"/>
        <cfvo type="max"/>
        <color rgb="FFFFC7CE"/>
        <color rgb="FFFFEB9C"/>
        <color rgb="FFC6EFCE"/>
      </colorScale>
    </cfRule>
  </conditionalFormatting>
  <dataValidations count="2">
    <dataValidation type="list" allowBlank="1" showInputMessage="1" showErrorMessage="1" sqref="W5:W51 P5:P51 R5:R51" xr:uid="{43DDBEF0-3E72-431B-98FA-9E268FDBBFB8}">
      <formula1>"Yes,No"</formula1>
    </dataValidation>
    <dataValidation type="list" allowBlank="1" showInputMessage="1" showErrorMessage="1" sqref="S5:S51 U5:U51" xr:uid="{5CF95C39-EF92-4635-B88D-74EB19641C12}">
      <formula1>"0,1,2,3,4"</formula1>
    </dataValidation>
  </dataValidations>
  <hyperlinks>
    <hyperlink ref="I35" r:id="rId1" xr:uid="{EC04CB0D-C585-473D-891A-713191773E4D}"/>
    <hyperlink ref="I17" r:id="rId2" xr:uid="{0F7D9021-2B9C-4E57-8365-DE41F43D920E}"/>
    <hyperlink ref="I41" r:id="rId3" xr:uid="{41197994-AF9D-4F7E-8022-3C2DE164CF8A}"/>
    <hyperlink ref="I5" r:id="rId4" xr:uid="{008752BC-C8EE-440E-A246-874D366FD5D2}"/>
    <hyperlink ref="I48" r:id="rId5" xr:uid="{9486B079-3727-4D43-90B8-C84C28E48911}"/>
    <hyperlink ref="I26" r:id="rId6" xr:uid="{E3060B87-2A59-43B0-BD25-3D6D0188BA0E}"/>
    <hyperlink ref="I42" r:id="rId7" xr:uid="{AC13068B-B009-4B5C-92DD-7C38492874F8}"/>
    <hyperlink ref="I26:I34" r:id="rId8" display="https://www.eionet.europa.eu/reportnet/docs/govreg/projections/govregart18_ec_parameters_projections_2021.zip/view" xr:uid="{68CC6033-D777-4106-BC3D-88C6EB0920F6}"/>
  </hyperlinks>
  <pageMargins left="0.7" right="0.7" top="0.75" bottom="0.75" header="0.3" footer="0.3"/>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DA28A-EECE-4026-B77F-1935E0B79CFE}">
  <sheetPr codeName="Feuil5"/>
  <dimension ref="A1:AN63"/>
  <sheetViews>
    <sheetView zoomScale="85" zoomScaleNormal="85" workbookViewId="0">
      <pane xSplit="8" ySplit="4" topLeftCell="I5" activePane="bottomRight" state="frozen"/>
      <selection pane="topRight" activeCell="H1" sqref="H1"/>
      <selection pane="bottomLeft" activeCell="A4" sqref="A4"/>
      <selection pane="bottomRight" activeCell="K1" sqref="K1:K1048576"/>
    </sheetView>
  </sheetViews>
  <sheetFormatPr defaultColWidth="11.42578125" defaultRowHeight="15" x14ac:dyDescent="0.25"/>
  <cols>
    <col min="1" max="1" width="10.28515625" customWidth="1"/>
    <col min="2" max="2" width="18.5703125" style="17" customWidth="1"/>
    <col min="3" max="3" width="10.28515625" style="69" customWidth="1"/>
    <col min="4" max="5" width="0.140625" style="69" customWidth="1"/>
    <col min="6" max="7" width="0.140625" style="17" customWidth="1"/>
    <col min="8" max="8" width="13.5703125" style="17" customWidth="1"/>
    <col min="9" max="9" width="48" customWidth="1"/>
    <col min="10" max="10" width="21" customWidth="1"/>
    <col min="11" max="11" width="11.28515625" customWidth="1"/>
    <col min="12" max="12" width="10.28515625" customWidth="1"/>
    <col min="13" max="13" width="8.7109375" customWidth="1"/>
    <col min="14" max="14" width="9.7109375" customWidth="1"/>
    <col min="15" max="15" width="10.42578125" customWidth="1"/>
    <col min="16" max="16" width="14.42578125" style="11" customWidth="1"/>
    <col min="17" max="17" width="7.140625" customWidth="1"/>
    <col min="18" max="18" width="10.7109375" customWidth="1"/>
    <col min="19" max="19" width="7.5703125" customWidth="1"/>
    <col min="20" max="20" width="10.42578125" customWidth="1"/>
    <col min="21" max="21" width="17.7109375" customWidth="1"/>
    <col min="22" max="22" width="10.42578125" customWidth="1"/>
    <col min="23" max="23" width="16.28515625" customWidth="1"/>
    <col min="24" max="24" width="11.7109375" customWidth="1"/>
    <col min="25" max="25" width="17.7109375" customWidth="1"/>
    <col min="26" max="26" width="75.42578125" hidden="1" customWidth="1"/>
    <col min="27" max="27" width="37.28515625" hidden="1" customWidth="1"/>
    <col min="28" max="29" width="12" hidden="1" customWidth="1"/>
    <col min="30" max="30" width="12.140625" hidden="1" customWidth="1"/>
    <col min="31" max="31" width="12" hidden="1" customWidth="1"/>
    <col min="32" max="32" width="7.85546875" hidden="1" customWidth="1"/>
    <col min="33" max="33" width="4.5703125" hidden="1" customWidth="1"/>
    <col min="34" max="34" width="34.7109375" hidden="1" customWidth="1"/>
    <col min="35" max="35" width="36" hidden="1" customWidth="1"/>
    <col min="36" max="36" width="34.7109375" hidden="1" customWidth="1"/>
    <col min="37" max="37" width="36" hidden="1" customWidth="1"/>
    <col min="38" max="38" width="34.7109375" hidden="1" customWidth="1"/>
    <col min="39" max="39" width="43.28515625" hidden="1" customWidth="1"/>
    <col min="40" max="40" width="41.7109375" hidden="1" customWidth="1"/>
  </cols>
  <sheetData>
    <row r="1" spans="1:25" ht="21" x14ac:dyDescent="0.35">
      <c r="A1" s="39" t="s">
        <v>407</v>
      </c>
    </row>
    <row r="2" spans="1:25" ht="49.9" customHeight="1" x14ac:dyDescent="0.25">
      <c r="Y2" s="147" t="s">
        <v>380</v>
      </c>
    </row>
    <row r="3" spans="1:25" x14ac:dyDescent="0.25">
      <c r="M3" s="151" t="s">
        <v>381</v>
      </c>
      <c r="N3" s="151"/>
      <c r="O3" s="151"/>
      <c r="P3" s="151"/>
      <c r="Q3" s="151"/>
      <c r="R3" s="151" t="s">
        <v>400</v>
      </c>
      <c r="S3" s="151"/>
      <c r="X3" s="90" t="s">
        <v>400</v>
      </c>
      <c r="Y3" s="148"/>
    </row>
    <row r="4" spans="1:25" s="17" customFormat="1" ht="60" x14ac:dyDescent="0.25">
      <c r="A4" s="24" t="s">
        <v>14</v>
      </c>
      <c r="B4" s="75" t="s">
        <v>15</v>
      </c>
      <c r="C4" s="24" t="s">
        <v>241</v>
      </c>
      <c r="D4" s="84" t="s">
        <v>242</v>
      </c>
      <c r="E4" s="84" t="s">
        <v>243</v>
      </c>
      <c r="F4" s="67" t="s">
        <v>16</v>
      </c>
      <c r="G4" s="67" t="s">
        <v>17</v>
      </c>
      <c r="H4" s="24" t="s">
        <v>244</v>
      </c>
      <c r="I4" s="25" t="s">
        <v>19</v>
      </c>
      <c r="J4" s="25" t="s">
        <v>245</v>
      </c>
      <c r="K4" s="25" t="s">
        <v>20</v>
      </c>
      <c r="L4" s="24" t="s">
        <v>121</v>
      </c>
      <c r="M4" s="24" t="s">
        <v>246</v>
      </c>
      <c r="N4" s="24" t="s">
        <v>247</v>
      </c>
      <c r="O4" s="24" t="s">
        <v>248</v>
      </c>
      <c r="P4" s="24" t="s">
        <v>249</v>
      </c>
      <c r="Q4" s="25" t="s">
        <v>25</v>
      </c>
      <c r="R4" s="25" t="s">
        <v>24</v>
      </c>
      <c r="S4" s="25" t="s">
        <v>404</v>
      </c>
      <c r="T4" s="25" t="s">
        <v>377</v>
      </c>
      <c r="U4" s="25" t="s">
        <v>378</v>
      </c>
      <c r="V4" s="25" t="s">
        <v>379</v>
      </c>
      <c r="W4" s="25" t="s">
        <v>26</v>
      </c>
      <c r="X4" s="25" t="s">
        <v>27</v>
      </c>
      <c r="Y4" s="25" t="s">
        <v>28</v>
      </c>
    </row>
    <row r="5" spans="1:25" ht="45" x14ac:dyDescent="0.25">
      <c r="A5" s="171" t="s">
        <v>250</v>
      </c>
      <c r="B5" s="189" t="s">
        <v>251</v>
      </c>
      <c r="C5" s="189"/>
      <c r="D5" s="68" t="str">
        <f>IF(ISBLANK(A5),D4,A5)</f>
        <v>TYNDP 2024</v>
      </c>
      <c r="E5" s="68" t="str">
        <f>IF(ISBLANK(B5),E4,B5)</f>
        <v>Values provided directly in €/MW/km (p. 104)</v>
      </c>
      <c r="F5" s="68" t="str">
        <f>IF(ISBLANK(A5), "", IF(ISBLANK(A12), A5, " "))</f>
        <v>TYNDP 2024</v>
      </c>
      <c r="G5" s="68" t="str">
        <f t="shared" ref="G5:G11" si="0">_xlfn.CONCAT(IF(F5=" ", _xlfn.CONCAT(A5, " - ", IF(O5="Not specified",B5&amp;" - size "&amp;N5,B5&amp;" - for "&amp;O5&amp;" - size "&amp;N5)), IF(O5="Not specified",B5&amp;" - size "&amp;N5,B5&amp;" - for "&amp;O5&amp;" - size "&amp;N5)),IF(ISBLANK(C5), "", _xlfn.CONCAT(" (",C5,")")))</f>
        <v>Values provided directly in €/MW/km (p. 104) - size Not specified</v>
      </c>
      <c r="H5" s="32">
        <v>529</v>
      </c>
      <c r="I5" s="32" t="s">
        <v>252</v>
      </c>
      <c r="J5" s="32"/>
      <c r="K5" s="176" t="s">
        <v>253</v>
      </c>
      <c r="L5" s="32" t="s">
        <v>254</v>
      </c>
      <c r="M5" s="32" t="s">
        <v>54</v>
      </c>
      <c r="N5" s="32" t="s">
        <v>54</v>
      </c>
      <c r="O5" s="32" t="s">
        <v>54</v>
      </c>
      <c r="P5" s="32" t="s">
        <v>54</v>
      </c>
      <c r="Q5" s="32" t="s">
        <v>36</v>
      </c>
      <c r="R5" s="32">
        <v>2024</v>
      </c>
      <c r="S5" s="32" t="s">
        <v>36</v>
      </c>
      <c r="T5" s="94">
        <v>4</v>
      </c>
      <c r="U5" s="94"/>
      <c r="V5" s="32">
        <v>4</v>
      </c>
      <c r="W5" s="32"/>
      <c r="X5" s="32" t="s">
        <v>36</v>
      </c>
      <c r="Y5" s="95"/>
    </row>
    <row r="6" spans="1:25" ht="90" x14ac:dyDescent="0.25">
      <c r="A6" s="172"/>
      <c r="B6" s="179" t="s">
        <v>255</v>
      </c>
      <c r="C6" s="180"/>
      <c r="D6" s="68" t="str">
        <f t="shared" ref="D6:D40" si="1">IF(ISBLANK(A6),D5,A6)</f>
        <v>TYNDP 2024</v>
      </c>
      <c r="E6" s="68" t="str">
        <f t="shared" ref="E6:E40" si="2">IF(ISBLANK(B6),E5,B6)</f>
        <v>Values provided in €/km for different pipeline sizes (p. 52 / units conversions: Artelys)</v>
      </c>
      <c r="F6" s="68" t="str">
        <f t="shared" ref="F6:F12" si="3">IF(ISBLANK(A6), "", IF(ISBLANK(A23), A6, " "))</f>
        <v/>
      </c>
      <c r="G6" s="68" t="str">
        <f t="shared" si="0"/>
        <v>Values provided in €/km for different pipeline sizes (p. 52 / units conversions: Artelys) - for New - size S (20 inch)</v>
      </c>
      <c r="H6" s="96">
        <f>(1.5+3.4*0.206)*10^6/1200</f>
        <v>1833.6666666666667</v>
      </c>
      <c r="I6" s="188" t="s">
        <v>401</v>
      </c>
      <c r="J6" s="188"/>
      <c r="K6" s="177"/>
      <c r="L6" s="96" t="s">
        <v>256</v>
      </c>
      <c r="M6" s="94" t="s">
        <v>33</v>
      </c>
      <c r="N6" s="94" t="s">
        <v>257</v>
      </c>
      <c r="O6" s="94" t="s">
        <v>258</v>
      </c>
      <c r="P6" s="97" t="s">
        <v>259</v>
      </c>
      <c r="Q6" s="94" t="s">
        <v>36</v>
      </c>
      <c r="R6" s="94">
        <v>2024</v>
      </c>
      <c r="S6" s="94" t="s">
        <v>70</v>
      </c>
      <c r="T6" s="94">
        <v>4</v>
      </c>
      <c r="U6" s="94"/>
      <c r="V6" s="94">
        <v>2</v>
      </c>
      <c r="W6" s="94" t="s">
        <v>260</v>
      </c>
      <c r="X6" s="94" t="s">
        <v>70</v>
      </c>
      <c r="Y6" s="95"/>
    </row>
    <row r="7" spans="1:25" ht="45" x14ac:dyDescent="0.25">
      <c r="A7" s="172"/>
      <c r="B7" s="181"/>
      <c r="C7" s="182"/>
      <c r="D7" s="68" t="str">
        <f t="shared" si="1"/>
        <v>TYNDP 2024</v>
      </c>
      <c r="E7" s="68" t="str">
        <f t="shared" si="2"/>
        <v>Values provided in €/km for different pipeline sizes (p. 52 / units conversions: Artelys)</v>
      </c>
      <c r="F7" s="68" t="str">
        <f t="shared" si="3"/>
        <v/>
      </c>
      <c r="G7" s="68" t="str">
        <f t="shared" si="0"/>
        <v xml:space="preserve"> - for New - size M (36 inch)</v>
      </c>
      <c r="H7" s="96">
        <f>(2.2+3.4*0.21)*10^6/4040</f>
        <v>721.28712871287132</v>
      </c>
      <c r="I7" s="188"/>
      <c r="J7" s="188"/>
      <c r="K7" s="177"/>
      <c r="L7" s="96" t="s">
        <v>261</v>
      </c>
      <c r="M7" s="94" t="s">
        <v>33</v>
      </c>
      <c r="N7" s="94" t="s">
        <v>262</v>
      </c>
      <c r="O7" s="94" t="s">
        <v>258</v>
      </c>
      <c r="P7" s="97" t="s">
        <v>263</v>
      </c>
      <c r="Q7" s="94" t="s">
        <v>36</v>
      </c>
      <c r="R7" s="94">
        <v>2024</v>
      </c>
      <c r="S7" s="94" t="s">
        <v>70</v>
      </c>
      <c r="T7" s="94">
        <v>4</v>
      </c>
      <c r="U7" s="94"/>
      <c r="V7" s="94">
        <v>4</v>
      </c>
      <c r="W7" s="94"/>
      <c r="X7" s="94" t="s">
        <v>36</v>
      </c>
      <c r="Y7" s="95"/>
    </row>
    <row r="8" spans="1:25" ht="45" x14ac:dyDescent="0.25">
      <c r="A8" s="172"/>
      <c r="B8" s="181"/>
      <c r="C8" s="182"/>
      <c r="D8" s="68" t="str">
        <f t="shared" si="1"/>
        <v>TYNDP 2024</v>
      </c>
      <c r="E8" s="68" t="str">
        <f t="shared" si="2"/>
        <v>Values provided in €/km for different pipeline sizes (p. 52 / units conversions: Artelys)</v>
      </c>
      <c r="F8" s="68" t="str">
        <f t="shared" si="3"/>
        <v/>
      </c>
      <c r="G8" s="68" t="str">
        <f t="shared" si="0"/>
        <v xml:space="preserve"> - for New - size L (48 inch)</v>
      </c>
      <c r="H8" s="96">
        <f>(2.8+3.4*0.21)*10^6/13000</f>
        <v>270.30769230769232</v>
      </c>
      <c r="I8" s="188"/>
      <c r="J8" s="188"/>
      <c r="K8" s="177"/>
      <c r="L8" s="96" t="s">
        <v>264</v>
      </c>
      <c r="M8" s="94" t="s">
        <v>33</v>
      </c>
      <c r="N8" s="94" t="s">
        <v>265</v>
      </c>
      <c r="O8" s="94" t="s">
        <v>258</v>
      </c>
      <c r="P8" s="97" t="s">
        <v>263</v>
      </c>
      <c r="Q8" s="94" t="s">
        <v>36</v>
      </c>
      <c r="R8" s="94">
        <v>2024</v>
      </c>
      <c r="S8" s="94" t="s">
        <v>70</v>
      </c>
      <c r="T8" s="94">
        <v>4</v>
      </c>
      <c r="U8" s="94"/>
      <c r="V8" s="94">
        <v>2</v>
      </c>
      <c r="W8" s="94" t="s">
        <v>266</v>
      </c>
      <c r="X8" s="94" t="s">
        <v>36</v>
      </c>
      <c r="Y8" s="95"/>
    </row>
    <row r="9" spans="1:25" ht="45" x14ac:dyDescent="0.25">
      <c r="A9" s="172"/>
      <c r="B9" s="181"/>
      <c r="C9" s="182"/>
      <c r="D9" s="68" t="str">
        <f t="shared" si="1"/>
        <v>TYNDP 2024</v>
      </c>
      <c r="E9" s="68" t="str">
        <f t="shared" si="2"/>
        <v>Values provided in €/km for different pipeline sizes (p. 52 / units conversions: Artelys)</v>
      </c>
      <c r="F9" s="68" t="str">
        <f t="shared" si="3"/>
        <v/>
      </c>
      <c r="G9" s="68" t="str">
        <f t="shared" si="0"/>
        <v xml:space="preserve"> - for Repurposed - size S (20 inch)</v>
      </c>
      <c r="H9" s="96">
        <f>(0.3+3.4*0.206)*10^6/1200</f>
        <v>833.66666666666663</v>
      </c>
      <c r="I9" s="188"/>
      <c r="J9" s="188"/>
      <c r="K9" s="177"/>
      <c r="L9" s="96" t="s">
        <v>267</v>
      </c>
      <c r="M9" s="94" t="s">
        <v>33</v>
      </c>
      <c r="N9" s="94" t="s">
        <v>257</v>
      </c>
      <c r="O9" s="94" t="s">
        <v>268</v>
      </c>
      <c r="P9" s="97" t="s">
        <v>269</v>
      </c>
      <c r="Q9" s="94" t="s">
        <v>36</v>
      </c>
      <c r="R9" s="94">
        <v>2024</v>
      </c>
      <c r="S9" s="94" t="s">
        <v>70</v>
      </c>
      <c r="T9" s="94">
        <v>4</v>
      </c>
      <c r="U9" s="94"/>
      <c r="V9" s="94">
        <v>0</v>
      </c>
      <c r="W9" s="94" t="s">
        <v>268</v>
      </c>
      <c r="X9" s="94" t="s">
        <v>36</v>
      </c>
      <c r="Y9" s="95"/>
    </row>
    <row r="10" spans="1:25" ht="45" x14ac:dyDescent="0.25">
      <c r="A10" s="172"/>
      <c r="B10" s="181"/>
      <c r="C10" s="182"/>
      <c r="D10" s="68" t="str">
        <f t="shared" si="1"/>
        <v>TYNDP 2024</v>
      </c>
      <c r="E10" s="68" t="str">
        <f t="shared" si="2"/>
        <v>Values provided in €/km for different pipeline sizes (p. 52 / units conversions: Artelys)</v>
      </c>
      <c r="F10" s="68" t="str">
        <f t="shared" si="3"/>
        <v/>
      </c>
      <c r="G10" s="68" t="str">
        <f t="shared" si="0"/>
        <v xml:space="preserve"> - for Repurposed - size M (36 inch)</v>
      </c>
      <c r="H10" s="96">
        <f>(0.4+3.4*0.21)*10^6/4040</f>
        <v>275.7425742574257</v>
      </c>
      <c r="I10" s="188"/>
      <c r="J10" s="188"/>
      <c r="K10" s="177"/>
      <c r="L10" s="96" t="s">
        <v>270</v>
      </c>
      <c r="M10" s="94" t="s">
        <v>33</v>
      </c>
      <c r="N10" s="94" t="s">
        <v>262</v>
      </c>
      <c r="O10" s="94" t="s">
        <v>268</v>
      </c>
      <c r="P10" s="97" t="s">
        <v>263</v>
      </c>
      <c r="Q10" s="94" t="s">
        <v>36</v>
      </c>
      <c r="R10" s="94">
        <v>2024</v>
      </c>
      <c r="S10" s="94" t="s">
        <v>70</v>
      </c>
      <c r="T10" s="94">
        <v>4</v>
      </c>
      <c r="U10" s="94"/>
      <c r="V10" s="94">
        <v>0</v>
      </c>
      <c r="W10" s="94" t="s">
        <v>268</v>
      </c>
      <c r="X10" s="94" t="s">
        <v>36</v>
      </c>
      <c r="Y10" s="95"/>
    </row>
    <row r="11" spans="1:25" ht="45" x14ac:dyDescent="0.25">
      <c r="A11" s="172"/>
      <c r="B11" s="183"/>
      <c r="C11" s="184"/>
      <c r="D11" s="68" t="str">
        <f t="shared" si="1"/>
        <v>TYNDP 2024</v>
      </c>
      <c r="E11" s="68" t="str">
        <f t="shared" si="2"/>
        <v>Values provided in €/km for different pipeline sizes (p. 52 / units conversions: Artelys)</v>
      </c>
      <c r="F11" s="68" t="str">
        <f t="shared" si="3"/>
        <v/>
      </c>
      <c r="G11" s="68" t="str">
        <f t="shared" si="0"/>
        <v xml:space="preserve"> - for Repurposed - size L (48 inch)</v>
      </c>
      <c r="H11" s="96">
        <f>(0.5+3.4*0.21)*10^6/13000</f>
        <v>93.384615384615387</v>
      </c>
      <c r="I11" s="188"/>
      <c r="J11" s="188"/>
      <c r="K11" s="177"/>
      <c r="L11" s="96" t="s">
        <v>271</v>
      </c>
      <c r="M11" s="94" t="s">
        <v>33</v>
      </c>
      <c r="N11" s="94" t="s">
        <v>265</v>
      </c>
      <c r="O11" s="94" t="s">
        <v>268</v>
      </c>
      <c r="P11" s="97" t="s">
        <v>263</v>
      </c>
      <c r="Q11" s="94" t="s">
        <v>36</v>
      </c>
      <c r="R11" s="94">
        <v>2024</v>
      </c>
      <c r="S11" s="94" t="s">
        <v>70</v>
      </c>
      <c r="T11" s="94">
        <v>4</v>
      </c>
      <c r="U11" s="94"/>
      <c r="V11" s="94">
        <v>0</v>
      </c>
      <c r="W11" s="94" t="s">
        <v>268</v>
      </c>
      <c r="X11" s="94" t="s">
        <v>36</v>
      </c>
      <c r="Y11" s="95"/>
    </row>
    <row r="12" spans="1:25" ht="135" x14ac:dyDescent="0.25">
      <c r="A12" s="173"/>
      <c r="B12" s="189" t="s">
        <v>272</v>
      </c>
      <c r="C12" s="189"/>
      <c r="D12" s="68" t="str">
        <f t="shared" si="1"/>
        <v>TYNDP 2024</v>
      </c>
      <c r="E12" s="68" t="str">
        <f t="shared" si="2"/>
        <v>Values provided border by border (p. 107 / unit conversion &amp; average: Artelys)</v>
      </c>
      <c r="F12" s="68" t="str">
        <f t="shared" si="3"/>
        <v/>
      </c>
      <c r="G12" s="68" t="str">
        <f t="shared" ref="G12:G40" si="4">_xlfn.CONCAT(IF(F12=" ", _xlfn.CONCAT(A12, " - ", IF(O12="Not specified",B12&amp;" - size "&amp;N12,B12&amp;" - for "&amp;O12&amp;" - size "&amp;N12)), IF(O12="Not specified",B12&amp;" - size "&amp;N12,B12&amp;" - for "&amp;O12&amp;" - size "&amp;N12)),IF(ISBLANK(C12), "", _xlfn.CONCAT(" (",C12,")")))</f>
        <v>Values provided border by border (p. 107 / unit conversion &amp; average: Artelys) - size M (36 inch)</v>
      </c>
      <c r="H12" s="32">
        <v>326</v>
      </c>
      <c r="I12" s="32" t="s">
        <v>273</v>
      </c>
      <c r="J12" s="32"/>
      <c r="K12" s="178"/>
      <c r="L12" s="32" t="s">
        <v>274</v>
      </c>
      <c r="M12" s="32" t="s">
        <v>33</v>
      </c>
      <c r="N12" s="32" t="s">
        <v>262</v>
      </c>
      <c r="O12" s="32" t="s">
        <v>54</v>
      </c>
      <c r="P12" s="32" t="s">
        <v>54</v>
      </c>
      <c r="Q12" s="32" t="s">
        <v>36</v>
      </c>
      <c r="R12" s="32">
        <v>2024</v>
      </c>
      <c r="S12" s="32" t="s">
        <v>36</v>
      </c>
      <c r="T12" s="94">
        <v>4</v>
      </c>
      <c r="U12" s="94"/>
      <c r="V12" s="32">
        <v>1</v>
      </c>
      <c r="W12" s="32" t="s">
        <v>275</v>
      </c>
      <c r="X12" s="32" t="s">
        <v>36</v>
      </c>
      <c r="Y12" s="95"/>
    </row>
    <row r="13" spans="1:25" ht="30.6" customHeight="1" x14ac:dyDescent="0.25">
      <c r="A13" s="124" t="s">
        <v>276</v>
      </c>
      <c r="B13" s="141" t="s">
        <v>277</v>
      </c>
      <c r="C13" s="159"/>
      <c r="D13" s="68" t="str">
        <f t="shared" si="1"/>
        <v>EHB</v>
      </c>
      <c r="E13" s="68" t="str">
        <f t="shared" si="2"/>
        <v>EHB 2023: Implementation roadmap (mainly)</v>
      </c>
      <c r="F13" s="68" t="str">
        <f>IF(ISBLANK(A13), "", IF(ISBLANK(A20), A13, " "))</f>
        <v>EHB</v>
      </c>
      <c r="G13" s="68" t="str">
        <f t="shared" ref="G13:G22" si="5">_xlfn.CONCAT(IF(F13=" ", _xlfn.CONCAT(A13, " - ", IF(O13="Not specified",B13&amp;" - size "&amp;N13,B13&amp;" - for "&amp;O13&amp;" - size "&amp;N13)), IF(O13="Not specified",B13&amp;" - size "&amp;N13,B13&amp;" - for "&amp;O13&amp;" - size "&amp;N13)),IF(ISBLANK(C13), "", _xlfn.CONCAT(" (",C13,")")))</f>
        <v>EHB 2023: Implementation roadmap (mainly) - for New - size S (20 inch)</v>
      </c>
      <c r="H13" s="19">
        <f>(1.8+0.026)*10^6/1200</f>
        <v>1521.6666666666667</v>
      </c>
      <c r="I13" s="193" t="s">
        <v>425</v>
      </c>
      <c r="J13" s="162"/>
      <c r="K13" s="192" t="s">
        <v>278</v>
      </c>
      <c r="L13" s="19" t="s">
        <v>279</v>
      </c>
      <c r="M13" s="13" t="s">
        <v>33</v>
      </c>
      <c r="N13" s="13" t="s">
        <v>257</v>
      </c>
      <c r="O13" s="13" t="s">
        <v>258</v>
      </c>
      <c r="P13" s="41" t="s">
        <v>280</v>
      </c>
      <c r="Q13" s="13" t="s">
        <v>36</v>
      </c>
      <c r="R13" s="13">
        <v>2023</v>
      </c>
      <c r="S13" s="13" t="s">
        <v>36</v>
      </c>
      <c r="T13" s="13">
        <v>3</v>
      </c>
      <c r="U13" s="13" t="s">
        <v>386</v>
      </c>
      <c r="V13" s="13">
        <v>2</v>
      </c>
      <c r="W13" s="13" t="s">
        <v>260</v>
      </c>
      <c r="X13" s="13" t="s">
        <v>36</v>
      </c>
      <c r="Y13" s="13">
        <f ca="1">IF(OR(YEAR(TODAY())-R13&gt;6,S13="No", X13="No"),0,T13+2*V13)</f>
        <v>7</v>
      </c>
    </row>
    <row r="14" spans="1:25" ht="30.6" customHeight="1" x14ac:dyDescent="0.25">
      <c r="A14" s="128"/>
      <c r="B14" s="185"/>
      <c r="C14" s="186"/>
      <c r="D14" s="68" t="str">
        <f t="shared" si="1"/>
        <v>EHB</v>
      </c>
      <c r="E14" s="68" t="str">
        <f t="shared" si="2"/>
        <v>EHB 2023: Implementation roadmap (mainly)</v>
      </c>
      <c r="F14" s="68" t="str">
        <f>IF(ISBLANK(A14), "", IF(ISBLANK(A21), A14, " "))</f>
        <v/>
      </c>
      <c r="G14" s="68" t="str">
        <f t="shared" si="5"/>
        <v xml:space="preserve"> - for New - size M (36 inch)</v>
      </c>
      <c r="H14" s="19">
        <f>(3.2+0.093)*10^6/4700</f>
        <v>700.63829787234044</v>
      </c>
      <c r="I14" s="193"/>
      <c r="J14" s="162"/>
      <c r="K14" s="161"/>
      <c r="L14" s="19" t="s">
        <v>281</v>
      </c>
      <c r="M14" s="13" t="s">
        <v>33</v>
      </c>
      <c r="N14" s="13" t="s">
        <v>262</v>
      </c>
      <c r="O14" s="13" t="s">
        <v>258</v>
      </c>
      <c r="P14" s="41" t="s">
        <v>282</v>
      </c>
      <c r="Q14" s="13" t="s">
        <v>36</v>
      </c>
      <c r="R14" s="13">
        <v>2023</v>
      </c>
      <c r="S14" s="13" t="s">
        <v>36</v>
      </c>
      <c r="T14" s="13">
        <v>3</v>
      </c>
      <c r="U14" s="13" t="s">
        <v>386</v>
      </c>
      <c r="V14" s="13">
        <v>4</v>
      </c>
      <c r="W14" s="13"/>
      <c r="X14" s="13" t="s">
        <v>36</v>
      </c>
      <c r="Y14" s="13">
        <f t="shared" ref="Y14:Y40" ca="1" si="6">IF(OR(YEAR(TODAY())-R14&gt;6,S14="No", X14="No"),0,T14+2*V14)</f>
        <v>11</v>
      </c>
    </row>
    <row r="15" spans="1:25" ht="30.6" customHeight="1" x14ac:dyDescent="0.25">
      <c r="A15" s="128"/>
      <c r="B15" s="185"/>
      <c r="C15" s="186"/>
      <c r="D15" s="68" t="str">
        <f t="shared" si="1"/>
        <v>EHB</v>
      </c>
      <c r="E15" s="68" t="str">
        <f t="shared" si="2"/>
        <v>EHB 2023: Implementation roadmap (mainly)</v>
      </c>
      <c r="F15" s="68" t="str">
        <f>IF(ISBLANK(A15), "", IF(ISBLANK(A22), A15, " "))</f>
        <v/>
      </c>
      <c r="G15" s="68" t="str">
        <f t="shared" si="5"/>
        <v xml:space="preserve"> - for New - size L (48 inch)</v>
      </c>
      <c r="H15" s="19">
        <f>(4.4+0.183)*10^6/13000</f>
        <v>352.53846153846155</v>
      </c>
      <c r="I15" s="193"/>
      <c r="J15" s="162"/>
      <c r="K15" s="161"/>
      <c r="L15" s="19" t="s">
        <v>283</v>
      </c>
      <c r="M15" s="13" t="s">
        <v>33</v>
      </c>
      <c r="N15" s="13" t="s">
        <v>265</v>
      </c>
      <c r="O15" s="13" t="s">
        <v>258</v>
      </c>
      <c r="P15" s="41" t="s">
        <v>284</v>
      </c>
      <c r="Q15" s="13" t="s">
        <v>36</v>
      </c>
      <c r="R15" s="13">
        <v>2023</v>
      </c>
      <c r="S15" s="13" t="s">
        <v>36</v>
      </c>
      <c r="T15" s="13">
        <v>3</v>
      </c>
      <c r="U15" s="13" t="s">
        <v>386</v>
      </c>
      <c r="V15" s="13">
        <v>2</v>
      </c>
      <c r="W15" s="13" t="s">
        <v>266</v>
      </c>
      <c r="X15" s="13" t="s">
        <v>36</v>
      </c>
      <c r="Y15" s="13">
        <f t="shared" ca="1" si="6"/>
        <v>7</v>
      </c>
    </row>
    <row r="16" spans="1:25" ht="30.6" customHeight="1" x14ac:dyDescent="0.25">
      <c r="A16" s="128"/>
      <c r="B16" s="185"/>
      <c r="C16" s="186"/>
      <c r="D16" s="68" t="str">
        <f t="shared" si="1"/>
        <v>EHB</v>
      </c>
      <c r="E16" s="68" t="str">
        <f t="shared" si="2"/>
        <v>EHB 2023: Implementation roadmap (mainly)</v>
      </c>
      <c r="F16" s="68" t="str">
        <f t="shared" ref="F16:F22" si="7">IF(ISBLANK(A16), "", IF(ISBLANK(A38), A16, " "))</f>
        <v/>
      </c>
      <c r="G16" s="68" t="str">
        <f t="shared" si="5"/>
        <v xml:space="preserve"> - for Repurposed - size S (20 inch)</v>
      </c>
      <c r="H16" s="19">
        <f>(0.54+0.026)*10^6/1200</f>
        <v>471.66666666666674</v>
      </c>
      <c r="I16" s="193"/>
      <c r="J16" s="162"/>
      <c r="K16" s="161"/>
      <c r="L16" s="19" t="s">
        <v>285</v>
      </c>
      <c r="M16" s="13" t="s">
        <v>33</v>
      </c>
      <c r="N16" s="13" t="s">
        <v>257</v>
      </c>
      <c r="O16" s="13" t="s">
        <v>268</v>
      </c>
      <c r="P16" s="41" t="s">
        <v>280</v>
      </c>
      <c r="Q16" s="13" t="s">
        <v>36</v>
      </c>
      <c r="R16" s="13">
        <v>2023</v>
      </c>
      <c r="S16" s="13" t="s">
        <v>36</v>
      </c>
      <c r="T16" s="13">
        <v>3</v>
      </c>
      <c r="U16" s="13" t="s">
        <v>386</v>
      </c>
      <c r="V16" s="13">
        <v>0</v>
      </c>
      <c r="W16" s="13" t="s">
        <v>268</v>
      </c>
      <c r="X16" s="13" t="s">
        <v>36</v>
      </c>
      <c r="Y16" s="13">
        <f t="shared" ca="1" si="6"/>
        <v>3</v>
      </c>
    </row>
    <row r="17" spans="1:25" ht="30.6" customHeight="1" x14ac:dyDescent="0.25">
      <c r="A17" s="128"/>
      <c r="B17" s="185"/>
      <c r="C17" s="186"/>
      <c r="D17" s="68" t="str">
        <f t="shared" si="1"/>
        <v>EHB</v>
      </c>
      <c r="E17" s="68" t="str">
        <f t="shared" si="2"/>
        <v>EHB 2023: Implementation roadmap (mainly)</v>
      </c>
      <c r="F17" s="68" t="str">
        <f t="shared" si="7"/>
        <v/>
      </c>
      <c r="G17" s="68" t="str">
        <f t="shared" si="5"/>
        <v xml:space="preserve"> - for Repurposed - size M (36 inch)</v>
      </c>
      <c r="H17" s="19">
        <f>(0.64+0.04)*10^6/3600</f>
        <v>188.88888888888889</v>
      </c>
      <c r="I17" s="193"/>
      <c r="J17" s="162"/>
      <c r="K17" s="161"/>
      <c r="L17" s="19" t="s">
        <v>286</v>
      </c>
      <c r="M17" s="13" t="s">
        <v>33</v>
      </c>
      <c r="N17" s="13" t="s">
        <v>262</v>
      </c>
      <c r="O17" s="13" t="s">
        <v>268</v>
      </c>
      <c r="P17" s="41" t="s">
        <v>287</v>
      </c>
      <c r="Q17" s="13" t="s">
        <v>36</v>
      </c>
      <c r="R17" s="13">
        <v>2023</v>
      </c>
      <c r="S17" s="13" t="s">
        <v>36</v>
      </c>
      <c r="T17" s="13">
        <v>3</v>
      </c>
      <c r="U17" s="13" t="s">
        <v>386</v>
      </c>
      <c r="V17" s="13">
        <v>0</v>
      </c>
      <c r="W17" s="13" t="s">
        <v>268</v>
      </c>
      <c r="X17" s="13" t="s">
        <v>36</v>
      </c>
      <c r="Y17" s="13">
        <f t="shared" ca="1" si="6"/>
        <v>3</v>
      </c>
    </row>
    <row r="18" spans="1:25" ht="30.6" customHeight="1" x14ac:dyDescent="0.25">
      <c r="A18" s="128"/>
      <c r="B18" s="185"/>
      <c r="C18" s="186"/>
      <c r="D18" s="68" t="str">
        <f t="shared" si="1"/>
        <v>EHB</v>
      </c>
      <c r="E18" s="68" t="str">
        <f t="shared" si="2"/>
        <v>EHB 2023: Implementation roadmap (mainly)</v>
      </c>
      <c r="F18" s="68" t="str">
        <f t="shared" si="7"/>
        <v/>
      </c>
      <c r="G18" s="68" t="str">
        <f t="shared" si="5"/>
        <v xml:space="preserve"> - for Repurposed - size L (48 inch)</v>
      </c>
      <c r="H18" s="19">
        <f>(0.88+0.183)*10^6/13000</f>
        <v>81.769230769230774</v>
      </c>
      <c r="I18" s="193"/>
      <c r="J18" s="162"/>
      <c r="K18" s="161"/>
      <c r="L18" s="19" t="s">
        <v>288</v>
      </c>
      <c r="M18" s="13" t="s">
        <v>33</v>
      </c>
      <c r="N18" s="13" t="s">
        <v>265</v>
      </c>
      <c r="O18" s="13" t="s">
        <v>268</v>
      </c>
      <c r="P18" s="41" t="s">
        <v>284</v>
      </c>
      <c r="Q18" s="13" t="s">
        <v>36</v>
      </c>
      <c r="R18" s="13">
        <v>2023</v>
      </c>
      <c r="S18" s="13" t="s">
        <v>36</v>
      </c>
      <c r="T18" s="13">
        <v>3</v>
      </c>
      <c r="U18" s="13" t="s">
        <v>386</v>
      </c>
      <c r="V18" s="13">
        <v>0</v>
      </c>
      <c r="W18" s="13" t="s">
        <v>268</v>
      </c>
      <c r="X18" s="13" t="s">
        <v>36</v>
      </c>
      <c r="Y18" s="13">
        <f t="shared" ca="1" si="6"/>
        <v>3</v>
      </c>
    </row>
    <row r="19" spans="1:25" ht="30.6" customHeight="1" x14ac:dyDescent="0.25">
      <c r="A19" s="128"/>
      <c r="B19" s="185"/>
      <c r="C19" s="186"/>
      <c r="D19" s="68" t="str">
        <f t="shared" si="1"/>
        <v>EHB</v>
      </c>
      <c r="E19" s="68" t="str">
        <f t="shared" si="2"/>
        <v>EHB 2023: Implementation roadmap (mainly)</v>
      </c>
      <c r="F19" s="68" t="str">
        <f t="shared" si="7"/>
        <v/>
      </c>
      <c r="G19" s="68" t="str">
        <f t="shared" si="5"/>
        <v xml:space="preserve"> - for New - size M (36 inch)</v>
      </c>
      <c r="H19" s="19">
        <f>(5.44+0.158)*10^6/4700</f>
        <v>1191.0638297872342</v>
      </c>
      <c r="I19" s="193"/>
      <c r="J19" s="162"/>
      <c r="K19" s="161"/>
      <c r="L19" s="19" t="s">
        <v>289</v>
      </c>
      <c r="M19" s="13" t="s">
        <v>290</v>
      </c>
      <c r="N19" s="13" t="s">
        <v>262</v>
      </c>
      <c r="O19" s="13" t="s">
        <v>258</v>
      </c>
      <c r="P19" s="41" t="s">
        <v>291</v>
      </c>
      <c r="Q19" s="13" t="s">
        <v>36</v>
      </c>
      <c r="R19" s="13">
        <v>2023</v>
      </c>
      <c r="S19" s="13" t="s">
        <v>36</v>
      </c>
      <c r="T19" s="13">
        <v>3</v>
      </c>
      <c r="U19" s="13" t="s">
        <v>386</v>
      </c>
      <c r="V19" s="13">
        <v>1</v>
      </c>
      <c r="W19" s="13" t="s">
        <v>290</v>
      </c>
      <c r="X19" s="13" t="s">
        <v>36</v>
      </c>
      <c r="Y19" s="13">
        <f t="shared" ca="1" si="6"/>
        <v>5</v>
      </c>
    </row>
    <row r="20" spans="1:25" ht="30.6" customHeight="1" x14ac:dyDescent="0.25">
      <c r="A20" s="128"/>
      <c r="B20" s="185"/>
      <c r="C20" s="186"/>
      <c r="D20" s="68" t="str">
        <f t="shared" si="1"/>
        <v>EHB</v>
      </c>
      <c r="E20" s="68" t="str">
        <f t="shared" si="2"/>
        <v>EHB 2023: Implementation roadmap (mainly)</v>
      </c>
      <c r="F20" s="68" t="str">
        <f t="shared" si="7"/>
        <v/>
      </c>
      <c r="G20" s="68" t="str">
        <f t="shared" si="5"/>
        <v xml:space="preserve"> - for New - size L (48 inch)</v>
      </c>
      <c r="H20" s="19">
        <f>(7.48+0.311)*10^6/13000</f>
        <v>599.30769230769226</v>
      </c>
      <c r="I20" s="193"/>
      <c r="J20" s="162"/>
      <c r="K20" s="161"/>
      <c r="L20" s="19" t="s">
        <v>292</v>
      </c>
      <c r="M20" s="13" t="s">
        <v>290</v>
      </c>
      <c r="N20" s="13" t="s">
        <v>265</v>
      </c>
      <c r="O20" s="13" t="s">
        <v>258</v>
      </c>
      <c r="P20" s="41" t="s">
        <v>293</v>
      </c>
      <c r="Q20" s="13" t="s">
        <v>36</v>
      </c>
      <c r="R20" s="13">
        <v>2023</v>
      </c>
      <c r="S20" s="13" t="s">
        <v>36</v>
      </c>
      <c r="T20" s="13">
        <v>3</v>
      </c>
      <c r="U20" s="13" t="s">
        <v>386</v>
      </c>
      <c r="V20" s="13">
        <v>1</v>
      </c>
      <c r="W20" s="13" t="s">
        <v>290</v>
      </c>
      <c r="X20" s="13" t="s">
        <v>36</v>
      </c>
      <c r="Y20" s="13">
        <f t="shared" ca="1" si="6"/>
        <v>5</v>
      </c>
    </row>
    <row r="21" spans="1:25" ht="30.6" customHeight="1" x14ac:dyDescent="0.25">
      <c r="A21" s="128"/>
      <c r="B21" s="185"/>
      <c r="C21" s="186"/>
      <c r="D21" s="68" t="str">
        <f t="shared" si="1"/>
        <v>EHB</v>
      </c>
      <c r="E21" s="68" t="str">
        <f t="shared" si="2"/>
        <v>EHB 2023: Implementation roadmap (mainly)</v>
      </c>
      <c r="F21" s="68" t="str">
        <f t="shared" si="7"/>
        <v/>
      </c>
      <c r="G21" s="68" t="str">
        <f t="shared" si="5"/>
        <v xml:space="preserve"> - for Repurposed - size M (36 inch)</v>
      </c>
      <c r="H21" s="19">
        <f>(1.09+0.068)*10^6/3600</f>
        <v>321.66666666666674</v>
      </c>
      <c r="I21" s="193"/>
      <c r="J21" s="162"/>
      <c r="K21" s="161"/>
      <c r="L21" s="19" t="s">
        <v>294</v>
      </c>
      <c r="M21" s="13" t="s">
        <v>290</v>
      </c>
      <c r="N21" s="13" t="s">
        <v>262</v>
      </c>
      <c r="O21" s="13" t="s">
        <v>268</v>
      </c>
      <c r="P21" s="41" t="s">
        <v>295</v>
      </c>
      <c r="Q21" s="13" t="s">
        <v>36</v>
      </c>
      <c r="R21" s="13">
        <v>2023</v>
      </c>
      <c r="S21" s="13" t="s">
        <v>36</v>
      </c>
      <c r="T21" s="13">
        <v>3</v>
      </c>
      <c r="U21" s="13" t="s">
        <v>386</v>
      </c>
      <c r="V21" s="13">
        <v>0</v>
      </c>
      <c r="W21" s="13" t="s">
        <v>268</v>
      </c>
      <c r="X21" s="13" t="s">
        <v>36</v>
      </c>
      <c r="Y21" s="13">
        <f t="shared" ca="1" si="6"/>
        <v>3</v>
      </c>
    </row>
    <row r="22" spans="1:25" ht="30.6" customHeight="1" x14ac:dyDescent="0.25">
      <c r="A22" s="128"/>
      <c r="B22" s="142"/>
      <c r="C22" s="187"/>
      <c r="D22" s="68" t="str">
        <f t="shared" si="1"/>
        <v>EHB</v>
      </c>
      <c r="E22" s="68" t="str">
        <f t="shared" si="2"/>
        <v>EHB 2023: Implementation roadmap (mainly)</v>
      </c>
      <c r="F22" s="68" t="str">
        <f t="shared" si="7"/>
        <v/>
      </c>
      <c r="G22" s="68" t="str">
        <f t="shared" si="5"/>
        <v xml:space="preserve"> - for Repurposed - size L (48 inch)</v>
      </c>
      <c r="H22" s="19">
        <f>(1.5+0.311)*10^6/13000</f>
        <v>139.30769230769232</v>
      </c>
      <c r="I22" s="193"/>
      <c r="J22" s="162"/>
      <c r="K22" s="161"/>
      <c r="L22" s="19" t="s">
        <v>256</v>
      </c>
      <c r="M22" s="13" t="s">
        <v>290</v>
      </c>
      <c r="N22" s="13" t="s">
        <v>265</v>
      </c>
      <c r="O22" s="13" t="s">
        <v>268</v>
      </c>
      <c r="P22" s="41" t="s">
        <v>293</v>
      </c>
      <c r="Q22" s="13" t="s">
        <v>36</v>
      </c>
      <c r="R22" s="13">
        <v>2023</v>
      </c>
      <c r="S22" s="13" t="s">
        <v>36</v>
      </c>
      <c r="T22" s="13">
        <v>3</v>
      </c>
      <c r="U22" s="13" t="s">
        <v>386</v>
      </c>
      <c r="V22" s="13">
        <v>0</v>
      </c>
      <c r="W22" s="13" t="s">
        <v>268</v>
      </c>
      <c r="X22" s="13" t="s">
        <v>36</v>
      </c>
      <c r="Y22" s="13">
        <f t="shared" ca="1" si="6"/>
        <v>3</v>
      </c>
    </row>
    <row r="23" spans="1:25" ht="45" x14ac:dyDescent="0.25">
      <c r="A23" s="128"/>
      <c r="B23" s="120" t="s">
        <v>296</v>
      </c>
      <c r="C23" s="71" t="s">
        <v>179</v>
      </c>
      <c r="D23" s="68" t="str">
        <f t="shared" si="1"/>
        <v>EHB</v>
      </c>
      <c r="E23" s="68" t="str">
        <f t="shared" si="2"/>
        <v>(Cited by DNV)</v>
      </c>
      <c r="F23" s="68" t="str">
        <f t="shared" ref="F23:F28" si="8">IF(ISBLANK(A23), "", IF(ISBLANK(A30), A23, " "))</f>
        <v/>
      </c>
      <c r="G23" s="68" t="str">
        <f t="shared" ref="G23:G35" si="9">_xlfn.CONCAT(IF(F23=" ", _xlfn.CONCAT(A23, " - ", IF(O23="Not specified",B23&amp;" - size "&amp;N23,B23&amp;" - for "&amp;O23&amp;" - size "&amp;N23)), IF(O23="Not specified",B23&amp;" - size "&amp;N23,B23&amp;" - for "&amp;O23&amp;" - size "&amp;N23)),IF(ISBLANK(C23), "", _xlfn.CONCAT(" (",C23,")")))</f>
        <v>(Cited by DNV) - for New - size M (36 inch) (Lower bound)</v>
      </c>
      <c r="H23" s="12">
        <v>820</v>
      </c>
      <c r="I23" s="120" t="s">
        <v>403</v>
      </c>
      <c r="J23" s="162"/>
      <c r="K23" s="194" t="s">
        <v>297</v>
      </c>
      <c r="L23" s="63" t="s">
        <v>298</v>
      </c>
      <c r="M23" s="13" t="s">
        <v>54</v>
      </c>
      <c r="N23" s="13" t="s">
        <v>262</v>
      </c>
      <c r="O23" s="13" t="s">
        <v>258</v>
      </c>
      <c r="P23" s="13" t="s">
        <v>54</v>
      </c>
      <c r="Q23" s="13" t="s">
        <v>36</v>
      </c>
      <c r="R23" s="13">
        <v>2023</v>
      </c>
      <c r="S23" s="13" t="s">
        <v>70</v>
      </c>
      <c r="T23" s="33">
        <v>3</v>
      </c>
      <c r="U23" s="13" t="s">
        <v>386</v>
      </c>
      <c r="V23" s="13">
        <v>3</v>
      </c>
      <c r="W23" s="13" t="s">
        <v>181</v>
      </c>
      <c r="X23" s="13" t="s">
        <v>36</v>
      </c>
      <c r="Y23" s="13">
        <f t="shared" ca="1" si="6"/>
        <v>0</v>
      </c>
    </row>
    <row r="24" spans="1:25" ht="45" x14ac:dyDescent="0.25">
      <c r="A24" s="128"/>
      <c r="B24" s="160"/>
      <c r="C24" s="71" t="s">
        <v>299</v>
      </c>
      <c r="D24" s="68" t="str">
        <f t="shared" si="1"/>
        <v>EHB</v>
      </c>
      <c r="E24" s="68" t="str">
        <f t="shared" si="2"/>
        <v>(Cited by DNV)</v>
      </c>
      <c r="F24" s="68" t="str">
        <f t="shared" si="8"/>
        <v/>
      </c>
      <c r="G24" s="68" t="str">
        <f t="shared" si="9"/>
        <v xml:space="preserve"> - for New - size M (36 inch) (Middle bound)</v>
      </c>
      <c r="H24" s="12">
        <v>900</v>
      </c>
      <c r="I24" s="160"/>
      <c r="J24" s="162"/>
      <c r="K24" s="195"/>
      <c r="L24" s="63" t="s">
        <v>300</v>
      </c>
      <c r="M24" s="13" t="s">
        <v>54</v>
      </c>
      <c r="N24" s="13" t="s">
        <v>262</v>
      </c>
      <c r="O24" s="13" t="s">
        <v>258</v>
      </c>
      <c r="P24" s="13" t="s">
        <v>54</v>
      </c>
      <c r="Q24" s="13" t="s">
        <v>36</v>
      </c>
      <c r="R24" s="13">
        <v>2023</v>
      </c>
      <c r="S24" s="13" t="s">
        <v>70</v>
      </c>
      <c r="T24" s="33">
        <v>3</v>
      </c>
      <c r="U24" s="13" t="s">
        <v>386</v>
      </c>
      <c r="V24" s="13">
        <v>3</v>
      </c>
      <c r="W24" s="13" t="s">
        <v>181</v>
      </c>
      <c r="X24" s="13" t="s">
        <v>36</v>
      </c>
      <c r="Y24" s="13">
        <f t="shared" ca="1" si="6"/>
        <v>0</v>
      </c>
    </row>
    <row r="25" spans="1:25" ht="45" x14ac:dyDescent="0.25">
      <c r="A25" s="128"/>
      <c r="B25" s="160"/>
      <c r="C25" s="71" t="s">
        <v>182</v>
      </c>
      <c r="D25" s="68" t="str">
        <f t="shared" si="1"/>
        <v>EHB</v>
      </c>
      <c r="E25" s="68" t="str">
        <f t="shared" si="2"/>
        <v>(Cited by DNV)</v>
      </c>
      <c r="F25" s="68" t="str">
        <f t="shared" si="8"/>
        <v/>
      </c>
      <c r="G25" s="68" t="str">
        <f t="shared" si="9"/>
        <v xml:space="preserve"> - for New - size M (36 inch) (Upper bound)</v>
      </c>
      <c r="H25" s="13">
        <v>1105</v>
      </c>
      <c r="I25" s="160"/>
      <c r="J25" s="162"/>
      <c r="K25" s="195"/>
      <c r="L25" s="63" t="s">
        <v>301</v>
      </c>
      <c r="M25" s="13" t="s">
        <v>54</v>
      </c>
      <c r="N25" s="13" t="s">
        <v>262</v>
      </c>
      <c r="O25" s="13" t="s">
        <v>258</v>
      </c>
      <c r="P25" s="13" t="s">
        <v>54</v>
      </c>
      <c r="Q25" s="13" t="s">
        <v>36</v>
      </c>
      <c r="R25" s="13">
        <v>2023</v>
      </c>
      <c r="S25" s="13" t="s">
        <v>70</v>
      </c>
      <c r="T25" s="33">
        <v>3</v>
      </c>
      <c r="U25" s="13" t="s">
        <v>386</v>
      </c>
      <c r="V25" s="13">
        <v>3</v>
      </c>
      <c r="W25" s="13" t="s">
        <v>181</v>
      </c>
      <c r="X25" s="13" t="s">
        <v>36</v>
      </c>
      <c r="Y25" s="13">
        <f t="shared" ca="1" si="6"/>
        <v>0</v>
      </c>
    </row>
    <row r="26" spans="1:25" ht="45" x14ac:dyDescent="0.25">
      <c r="A26" s="128"/>
      <c r="B26" s="160"/>
      <c r="C26" s="71" t="s">
        <v>179</v>
      </c>
      <c r="D26" s="68" t="str">
        <f t="shared" si="1"/>
        <v>EHB</v>
      </c>
      <c r="E26" s="68" t="str">
        <f t="shared" si="2"/>
        <v>(Cited by DNV)</v>
      </c>
      <c r="F26" s="68" t="str">
        <f t="shared" si="8"/>
        <v/>
      </c>
      <c r="G26" s="68" t="str">
        <f t="shared" si="9"/>
        <v xml:space="preserve"> - for Repurposed - size M (36 inch) (Lower bound)</v>
      </c>
      <c r="H26" s="13">
        <v>70</v>
      </c>
      <c r="I26" s="160"/>
      <c r="J26" s="162"/>
      <c r="K26" s="195"/>
      <c r="L26" s="63" t="s">
        <v>302</v>
      </c>
      <c r="M26" s="13" t="s">
        <v>54</v>
      </c>
      <c r="N26" s="13" t="s">
        <v>262</v>
      </c>
      <c r="O26" s="13" t="s">
        <v>268</v>
      </c>
      <c r="P26" s="13" t="s">
        <v>54</v>
      </c>
      <c r="Q26" s="13" t="s">
        <v>36</v>
      </c>
      <c r="R26" s="13">
        <v>2023</v>
      </c>
      <c r="S26" s="13" t="s">
        <v>70</v>
      </c>
      <c r="T26" s="33">
        <v>3</v>
      </c>
      <c r="U26" s="13" t="s">
        <v>386</v>
      </c>
      <c r="V26" s="13">
        <v>0</v>
      </c>
      <c r="W26" s="13" t="s">
        <v>268</v>
      </c>
      <c r="X26" s="13" t="s">
        <v>36</v>
      </c>
      <c r="Y26" s="13">
        <f t="shared" ca="1" si="6"/>
        <v>0</v>
      </c>
    </row>
    <row r="27" spans="1:25" ht="45" x14ac:dyDescent="0.25">
      <c r="A27" s="128"/>
      <c r="B27" s="160"/>
      <c r="C27" s="71" t="s">
        <v>299</v>
      </c>
      <c r="D27" s="68" t="str">
        <f t="shared" si="1"/>
        <v>EHB</v>
      </c>
      <c r="E27" s="68" t="str">
        <f t="shared" si="2"/>
        <v>(Cited by DNV)</v>
      </c>
      <c r="F27" s="68" t="str">
        <f t="shared" si="8"/>
        <v/>
      </c>
      <c r="G27" s="68" t="str">
        <f t="shared" si="9"/>
        <v xml:space="preserve"> - for Repurposed - size M (36 inch) (Middle bound)</v>
      </c>
      <c r="H27" s="13">
        <v>100</v>
      </c>
      <c r="I27" s="160"/>
      <c r="J27" s="162"/>
      <c r="K27" s="195"/>
      <c r="L27" s="63" t="s">
        <v>303</v>
      </c>
      <c r="M27" s="13" t="s">
        <v>54</v>
      </c>
      <c r="N27" s="13" t="s">
        <v>262</v>
      </c>
      <c r="O27" s="13" t="s">
        <v>268</v>
      </c>
      <c r="P27" s="13" t="s">
        <v>54</v>
      </c>
      <c r="Q27" s="13" t="s">
        <v>36</v>
      </c>
      <c r="R27" s="13">
        <v>2023</v>
      </c>
      <c r="S27" s="13" t="s">
        <v>70</v>
      </c>
      <c r="T27" s="33">
        <v>3</v>
      </c>
      <c r="U27" s="13" t="s">
        <v>386</v>
      </c>
      <c r="V27" s="13">
        <v>0</v>
      </c>
      <c r="W27" s="13" t="s">
        <v>268</v>
      </c>
      <c r="X27" s="13" t="s">
        <v>36</v>
      </c>
      <c r="Y27" s="13">
        <f t="shared" ca="1" si="6"/>
        <v>0</v>
      </c>
    </row>
    <row r="28" spans="1:25" ht="45" x14ac:dyDescent="0.25">
      <c r="A28" s="125"/>
      <c r="B28" s="160"/>
      <c r="C28" s="71" t="s">
        <v>182</v>
      </c>
      <c r="D28" s="68" t="str">
        <f t="shared" si="1"/>
        <v>EHB</v>
      </c>
      <c r="E28" s="68" t="str">
        <f t="shared" si="2"/>
        <v>(Cited by DNV)</v>
      </c>
      <c r="F28" s="68" t="str">
        <f t="shared" si="8"/>
        <v/>
      </c>
      <c r="G28" s="68" t="str">
        <f t="shared" si="9"/>
        <v xml:space="preserve"> - for Repurposed - size M (36 inch) (Upper bound)</v>
      </c>
      <c r="H28" s="13">
        <v>120</v>
      </c>
      <c r="I28" s="160"/>
      <c r="J28" s="162"/>
      <c r="K28" s="195"/>
      <c r="L28" s="63" t="s">
        <v>304</v>
      </c>
      <c r="M28" s="13" t="s">
        <v>54</v>
      </c>
      <c r="N28" s="13" t="s">
        <v>262</v>
      </c>
      <c r="O28" s="13" t="s">
        <v>268</v>
      </c>
      <c r="P28" s="13" t="s">
        <v>54</v>
      </c>
      <c r="Q28" s="13" t="s">
        <v>36</v>
      </c>
      <c r="R28" s="13">
        <v>2023</v>
      </c>
      <c r="S28" s="13" t="s">
        <v>70</v>
      </c>
      <c r="T28" s="33">
        <v>3</v>
      </c>
      <c r="U28" s="13" t="s">
        <v>386</v>
      </c>
      <c r="V28" s="13">
        <v>0</v>
      </c>
      <c r="W28" s="13" t="s">
        <v>268</v>
      </c>
      <c r="X28" s="13" t="s">
        <v>36</v>
      </c>
      <c r="Y28" s="13">
        <f t="shared" ca="1" si="6"/>
        <v>0</v>
      </c>
    </row>
    <row r="29" spans="1:25" ht="45" x14ac:dyDescent="0.25">
      <c r="A29" s="163" t="s">
        <v>305</v>
      </c>
      <c r="B29" s="160"/>
      <c r="C29" s="71" t="s">
        <v>179</v>
      </c>
      <c r="D29" s="68" t="str">
        <f t="shared" si="1"/>
        <v>NSWPH</v>
      </c>
      <c r="E29" s="68" t="str">
        <f t="shared" si="2"/>
        <v>(Cited by DNV)</v>
      </c>
      <c r="F29" s="68" t="str">
        <f t="shared" ref="F29:F40" si="10">IF(ISBLANK(A29), "", IF(ISBLANK(A36), A29, " "))</f>
        <v xml:space="preserve"> </v>
      </c>
      <c r="G29" s="68" t="str">
        <f t="shared" si="9"/>
        <v>NSWPH -  - for New - size M (36 inch) (Lower bound)</v>
      </c>
      <c r="H29" s="13">
        <v>800</v>
      </c>
      <c r="I29" s="160"/>
      <c r="J29" s="162"/>
      <c r="K29" s="195"/>
      <c r="L29" s="63" t="s">
        <v>306</v>
      </c>
      <c r="M29" s="13" t="s">
        <v>54</v>
      </c>
      <c r="N29" s="13" t="s">
        <v>262</v>
      </c>
      <c r="O29" s="13" t="s">
        <v>258</v>
      </c>
      <c r="P29" s="13" t="s">
        <v>54</v>
      </c>
      <c r="Q29" s="13" t="s">
        <v>36</v>
      </c>
      <c r="R29" s="13">
        <v>2023</v>
      </c>
      <c r="S29" s="13" t="s">
        <v>70</v>
      </c>
      <c r="T29" s="33">
        <v>3</v>
      </c>
      <c r="U29" s="13" t="s">
        <v>386</v>
      </c>
      <c r="V29" s="13">
        <v>3</v>
      </c>
      <c r="W29" s="13" t="s">
        <v>181</v>
      </c>
      <c r="X29" s="13" t="s">
        <v>36</v>
      </c>
      <c r="Y29" s="13">
        <f t="shared" ca="1" si="6"/>
        <v>0</v>
      </c>
    </row>
    <row r="30" spans="1:25" ht="45" x14ac:dyDescent="0.25">
      <c r="A30" s="163"/>
      <c r="B30" s="160"/>
      <c r="C30" s="71" t="s">
        <v>299</v>
      </c>
      <c r="D30" s="68" t="str">
        <f t="shared" si="1"/>
        <v>NSWPH</v>
      </c>
      <c r="E30" s="68" t="str">
        <f t="shared" si="2"/>
        <v>(Cited by DNV)</v>
      </c>
      <c r="F30" s="68" t="str">
        <f t="shared" si="10"/>
        <v/>
      </c>
      <c r="G30" s="68" t="str">
        <f t="shared" si="9"/>
        <v xml:space="preserve"> - for New - size M (36 inch) (Middle bound)</v>
      </c>
      <c r="H30" s="13">
        <v>1060</v>
      </c>
      <c r="I30" s="160"/>
      <c r="J30" s="162"/>
      <c r="K30" s="195"/>
      <c r="L30" s="63" t="s">
        <v>307</v>
      </c>
      <c r="M30" s="13" t="s">
        <v>54</v>
      </c>
      <c r="N30" s="13" t="s">
        <v>262</v>
      </c>
      <c r="O30" s="13" t="s">
        <v>258</v>
      </c>
      <c r="P30" s="13" t="s">
        <v>54</v>
      </c>
      <c r="Q30" s="13" t="s">
        <v>36</v>
      </c>
      <c r="R30" s="13">
        <v>2023</v>
      </c>
      <c r="S30" s="13" t="s">
        <v>70</v>
      </c>
      <c r="T30" s="33">
        <v>3</v>
      </c>
      <c r="U30" s="13" t="s">
        <v>386</v>
      </c>
      <c r="V30" s="13">
        <v>3</v>
      </c>
      <c r="W30" s="13" t="s">
        <v>181</v>
      </c>
      <c r="X30" s="13" t="s">
        <v>36</v>
      </c>
      <c r="Y30" s="13">
        <f t="shared" ca="1" si="6"/>
        <v>0</v>
      </c>
    </row>
    <row r="31" spans="1:25" ht="45" x14ac:dyDescent="0.25">
      <c r="A31" s="163"/>
      <c r="B31" s="160"/>
      <c r="C31" s="71" t="s">
        <v>182</v>
      </c>
      <c r="D31" s="68" t="str">
        <f t="shared" si="1"/>
        <v>NSWPH</v>
      </c>
      <c r="E31" s="68" t="str">
        <f t="shared" si="2"/>
        <v>(Cited by DNV)</v>
      </c>
      <c r="F31" s="68" t="str">
        <f t="shared" ref="F31:F37" si="11">IF(ISBLANK(A31), "", IF(ISBLANK(A13), A31, " "))</f>
        <v/>
      </c>
      <c r="G31" s="68" t="str">
        <f t="shared" si="9"/>
        <v xml:space="preserve"> - for New - size M (36 inch) (Upper bound)</v>
      </c>
      <c r="H31" s="13">
        <v>1400</v>
      </c>
      <c r="I31" s="160"/>
      <c r="J31" s="162"/>
      <c r="K31" s="195"/>
      <c r="L31" s="63" t="s">
        <v>308</v>
      </c>
      <c r="M31" s="13" t="s">
        <v>54</v>
      </c>
      <c r="N31" s="13" t="s">
        <v>262</v>
      </c>
      <c r="O31" s="13" t="s">
        <v>258</v>
      </c>
      <c r="P31" s="13" t="s">
        <v>54</v>
      </c>
      <c r="Q31" s="13" t="s">
        <v>36</v>
      </c>
      <c r="R31" s="13">
        <v>2023</v>
      </c>
      <c r="S31" s="13" t="s">
        <v>70</v>
      </c>
      <c r="T31" s="33">
        <v>3</v>
      </c>
      <c r="U31" s="13" t="s">
        <v>386</v>
      </c>
      <c r="V31" s="13">
        <v>3</v>
      </c>
      <c r="W31" s="13" t="s">
        <v>181</v>
      </c>
      <c r="X31" s="13" t="s">
        <v>36</v>
      </c>
      <c r="Y31" s="13">
        <f t="shared" ca="1" si="6"/>
        <v>0</v>
      </c>
    </row>
    <row r="32" spans="1:25" ht="45" x14ac:dyDescent="0.25">
      <c r="A32" s="163" t="s">
        <v>309</v>
      </c>
      <c r="B32" s="160"/>
      <c r="C32" s="70" t="s">
        <v>179</v>
      </c>
      <c r="D32" s="68" t="str">
        <f t="shared" si="1"/>
        <v>TNO</v>
      </c>
      <c r="E32" s="68" t="str">
        <f t="shared" si="2"/>
        <v>(Cited by DNV)</v>
      </c>
      <c r="F32" s="68" t="str">
        <f t="shared" si="11"/>
        <v>TNO</v>
      </c>
      <c r="G32" s="68" t="str">
        <f t="shared" si="9"/>
        <v xml:space="preserve"> - for New - size M (36 inch) (Lower bound)</v>
      </c>
      <c r="H32" s="13">
        <v>267</v>
      </c>
      <c r="I32" s="160"/>
      <c r="J32" s="162"/>
      <c r="K32" s="195"/>
      <c r="L32" s="63" t="s">
        <v>310</v>
      </c>
      <c r="M32" s="13" t="s">
        <v>54</v>
      </c>
      <c r="N32" s="13" t="s">
        <v>262</v>
      </c>
      <c r="O32" s="13" t="s">
        <v>258</v>
      </c>
      <c r="P32" s="13" t="s">
        <v>54</v>
      </c>
      <c r="Q32" s="13" t="s">
        <v>36</v>
      </c>
      <c r="R32" s="13">
        <v>2023</v>
      </c>
      <c r="S32" s="13" t="s">
        <v>70</v>
      </c>
      <c r="T32" s="33">
        <v>4</v>
      </c>
      <c r="U32" s="33" t="s">
        <v>383</v>
      </c>
      <c r="V32" s="13">
        <v>3</v>
      </c>
      <c r="W32" s="13" t="s">
        <v>181</v>
      </c>
      <c r="X32" s="13" t="s">
        <v>36</v>
      </c>
      <c r="Y32" s="13">
        <f t="shared" ca="1" si="6"/>
        <v>0</v>
      </c>
    </row>
    <row r="33" spans="1:31" ht="45" x14ac:dyDescent="0.25">
      <c r="A33" s="163"/>
      <c r="B33" s="160"/>
      <c r="C33" s="71" t="s">
        <v>182</v>
      </c>
      <c r="D33" s="68" t="str">
        <f t="shared" si="1"/>
        <v>TNO</v>
      </c>
      <c r="E33" s="68" t="str">
        <f t="shared" si="2"/>
        <v>(Cited by DNV)</v>
      </c>
      <c r="F33" s="68" t="str">
        <f t="shared" si="11"/>
        <v/>
      </c>
      <c r="G33" s="68" t="str">
        <f t="shared" si="9"/>
        <v xml:space="preserve"> - for New - size M (36 inch) (Upper bound)</v>
      </c>
      <c r="H33" s="13">
        <v>642</v>
      </c>
      <c r="I33" s="160"/>
      <c r="J33" s="162"/>
      <c r="K33" s="195"/>
      <c r="L33" s="63" t="s">
        <v>311</v>
      </c>
      <c r="M33" s="13" t="s">
        <v>54</v>
      </c>
      <c r="N33" s="13" t="s">
        <v>262</v>
      </c>
      <c r="O33" s="13" t="s">
        <v>258</v>
      </c>
      <c r="P33" s="13" t="s">
        <v>54</v>
      </c>
      <c r="Q33" s="13" t="s">
        <v>36</v>
      </c>
      <c r="R33" s="13">
        <v>2023</v>
      </c>
      <c r="S33" s="13" t="s">
        <v>70</v>
      </c>
      <c r="T33" s="33">
        <v>4</v>
      </c>
      <c r="U33" s="33" t="s">
        <v>383</v>
      </c>
      <c r="V33" s="13">
        <v>3</v>
      </c>
      <c r="W33" s="13" t="s">
        <v>181</v>
      </c>
      <c r="X33" s="13" t="s">
        <v>36</v>
      </c>
      <c r="Y33" s="13">
        <f t="shared" ca="1" si="6"/>
        <v>0</v>
      </c>
    </row>
    <row r="34" spans="1:31" ht="45" x14ac:dyDescent="0.25">
      <c r="A34" s="163"/>
      <c r="B34" s="160"/>
      <c r="C34" s="71" t="s">
        <v>179</v>
      </c>
      <c r="D34" s="68" t="str">
        <f t="shared" si="1"/>
        <v>TNO</v>
      </c>
      <c r="E34" s="68" t="str">
        <f t="shared" si="2"/>
        <v>(Cited by DNV)</v>
      </c>
      <c r="F34" s="68" t="str">
        <f t="shared" si="11"/>
        <v/>
      </c>
      <c r="G34" s="68" t="str">
        <f t="shared" si="9"/>
        <v xml:space="preserve"> - for Repurposed - size M (36 inch) (Lower bound)</v>
      </c>
      <c r="H34" s="12">
        <v>3</v>
      </c>
      <c r="I34" s="160"/>
      <c r="J34" s="162"/>
      <c r="K34" s="195"/>
      <c r="L34" s="63" t="s">
        <v>312</v>
      </c>
      <c r="M34" s="13" t="s">
        <v>54</v>
      </c>
      <c r="N34" s="13" t="s">
        <v>262</v>
      </c>
      <c r="O34" s="13" t="s">
        <v>268</v>
      </c>
      <c r="P34" s="13" t="s">
        <v>54</v>
      </c>
      <c r="Q34" s="13" t="s">
        <v>36</v>
      </c>
      <c r="R34" s="13">
        <v>2023</v>
      </c>
      <c r="S34" s="13" t="s">
        <v>70</v>
      </c>
      <c r="T34" s="33">
        <v>4</v>
      </c>
      <c r="U34" s="33" t="s">
        <v>383</v>
      </c>
      <c r="V34" s="13">
        <v>0</v>
      </c>
      <c r="W34" s="13" t="s">
        <v>268</v>
      </c>
      <c r="X34" s="13" t="s">
        <v>70</v>
      </c>
      <c r="Y34" s="13">
        <f t="shared" ca="1" si="6"/>
        <v>0</v>
      </c>
    </row>
    <row r="35" spans="1:31" ht="45" x14ac:dyDescent="0.25">
      <c r="A35" s="163"/>
      <c r="B35" s="121"/>
      <c r="C35" s="71" t="s">
        <v>182</v>
      </c>
      <c r="D35" s="68" t="str">
        <f t="shared" si="1"/>
        <v>TNO</v>
      </c>
      <c r="E35" s="68" t="str">
        <f t="shared" si="2"/>
        <v>(Cited by DNV)</v>
      </c>
      <c r="F35" s="68" t="str">
        <f t="shared" si="11"/>
        <v/>
      </c>
      <c r="G35" s="68" t="str">
        <f t="shared" si="9"/>
        <v xml:space="preserve"> - for Repurposed - size M (36 inch) (Upper bound)</v>
      </c>
      <c r="H35" s="13">
        <v>642</v>
      </c>
      <c r="I35" s="121"/>
      <c r="J35" s="162"/>
      <c r="K35" s="196"/>
      <c r="L35" s="63" t="s">
        <v>311</v>
      </c>
      <c r="M35" s="13" t="s">
        <v>54</v>
      </c>
      <c r="N35" s="13" t="s">
        <v>262</v>
      </c>
      <c r="O35" s="13" t="s">
        <v>268</v>
      </c>
      <c r="P35" s="13" t="s">
        <v>54</v>
      </c>
      <c r="Q35" s="13" t="s">
        <v>36</v>
      </c>
      <c r="R35" s="13">
        <v>2023</v>
      </c>
      <c r="S35" s="13" t="s">
        <v>70</v>
      </c>
      <c r="T35" s="33">
        <v>4</v>
      </c>
      <c r="U35" s="33" t="s">
        <v>383</v>
      </c>
      <c r="V35" s="13">
        <v>0</v>
      </c>
      <c r="W35" s="13" t="s">
        <v>268</v>
      </c>
      <c r="X35" s="13" t="s">
        <v>70</v>
      </c>
      <c r="Y35" s="13">
        <f t="shared" ca="1" si="6"/>
        <v>0</v>
      </c>
    </row>
    <row r="36" spans="1:31" ht="90" x14ac:dyDescent="0.25">
      <c r="A36" s="163" t="s">
        <v>313</v>
      </c>
      <c r="B36" s="190" t="s">
        <v>314</v>
      </c>
      <c r="C36" s="190"/>
      <c r="D36" s="68" t="str">
        <f t="shared" si="1"/>
        <v>E-Bridge</v>
      </c>
      <c r="E36" s="68" t="str">
        <f t="shared" si="2"/>
        <v>Assessment of connection concepts for Germany’s far out North Sea offshore wind areas</v>
      </c>
      <c r="F36" s="68" t="str">
        <f t="shared" si="11"/>
        <v>E-Bridge</v>
      </c>
      <c r="G36" s="68" t="str">
        <f t="shared" si="4"/>
        <v>Assessment of connection concepts for Germany’s far out North Sea offshore wind areas - size 50% L-pipes, 35% M-pipes and 15% S-pipes</v>
      </c>
      <c r="H36" s="33">
        <v>966</v>
      </c>
      <c r="I36" s="190" t="s">
        <v>315</v>
      </c>
      <c r="J36" s="190"/>
      <c r="K36" s="161" t="s">
        <v>316</v>
      </c>
      <c r="L36" s="33" t="s">
        <v>317</v>
      </c>
      <c r="M36" s="33" t="s">
        <v>290</v>
      </c>
      <c r="N36" s="33" t="s">
        <v>318</v>
      </c>
      <c r="O36" s="33" t="s">
        <v>54</v>
      </c>
      <c r="P36" s="33" t="s">
        <v>54</v>
      </c>
      <c r="Q36" s="33" t="s">
        <v>36</v>
      </c>
      <c r="R36" s="33">
        <v>2024</v>
      </c>
      <c r="S36" s="33" t="s">
        <v>36</v>
      </c>
      <c r="T36" s="33">
        <v>2</v>
      </c>
      <c r="U36" s="33" t="s">
        <v>399</v>
      </c>
      <c r="V36" s="33">
        <v>1</v>
      </c>
      <c r="W36" s="33" t="s">
        <v>290</v>
      </c>
      <c r="X36" s="33" t="s">
        <v>36</v>
      </c>
      <c r="Y36" s="13">
        <f t="shared" ca="1" si="6"/>
        <v>4</v>
      </c>
    </row>
    <row r="37" spans="1:31" ht="90" x14ac:dyDescent="0.25">
      <c r="A37" s="163"/>
      <c r="B37" s="190" t="s">
        <v>314</v>
      </c>
      <c r="C37" s="190"/>
      <c r="D37" s="68" t="str">
        <f t="shared" si="1"/>
        <v>E-Bridge</v>
      </c>
      <c r="E37" s="68" t="str">
        <f t="shared" si="2"/>
        <v>Assessment of connection concepts for Germany’s far out North Sea offshore wind areas</v>
      </c>
      <c r="F37" s="68" t="str">
        <f t="shared" si="11"/>
        <v/>
      </c>
      <c r="G37" s="68" t="str">
        <f t="shared" si="4"/>
        <v>Assessment of connection concepts for Germany’s far out North Sea offshore wind areas - size 50% L-pipes, 35% M-pipes and 15% S-pipes</v>
      </c>
      <c r="H37" s="33">
        <v>568</v>
      </c>
      <c r="I37" s="190"/>
      <c r="J37" s="190"/>
      <c r="K37" s="191"/>
      <c r="L37" s="33" t="s">
        <v>319</v>
      </c>
      <c r="M37" s="33" t="s">
        <v>33</v>
      </c>
      <c r="N37" s="33" t="s">
        <v>318</v>
      </c>
      <c r="O37" s="33" t="s">
        <v>54</v>
      </c>
      <c r="P37" s="33" t="s">
        <v>54</v>
      </c>
      <c r="Q37" s="33" t="s">
        <v>36</v>
      </c>
      <c r="R37" s="33">
        <v>2024</v>
      </c>
      <c r="S37" s="33" t="s">
        <v>36</v>
      </c>
      <c r="T37" s="33">
        <v>2</v>
      </c>
      <c r="U37" s="33" t="s">
        <v>399</v>
      </c>
      <c r="V37" s="33">
        <v>3</v>
      </c>
      <c r="W37" s="33" t="s">
        <v>320</v>
      </c>
      <c r="X37" s="33" t="s">
        <v>36</v>
      </c>
      <c r="Y37" s="13">
        <f t="shared" ca="1" si="6"/>
        <v>8</v>
      </c>
    </row>
    <row r="38" spans="1:31" ht="45" x14ac:dyDescent="0.25">
      <c r="A38" s="163" t="s">
        <v>321</v>
      </c>
      <c r="B38" s="162" t="s">
        <v>322</v>
      </c>
      <c r="C38" s="162"/>
      <c r="D38" s="68" t="str">
        <f t="shared" si="1"/>
        <v>Strategy&amp;</v>
      </c>
      <c r="E38" s="68" t="str">
        <f t="shared" si="2"/>
        <v>Report: HyWay 27: hydrogen transmission using the existing natural gas grid?</v>
      </c>
      <c r="F38" s="68" t="str">
        <f t="shared" si="10"/>
        <v>Strategy&amp;</v>
      </c>
      <c r="G38" s="68" t="str">
        <f t="shared" si="4"/>
        <v>Report: HyWay 27: hydrogen transmission using the existing natural gas grid? - for New - size M (36 inch)</v>
      </c>
      <c r="H38" s="13">
        <v>352</v>
      </c>
      <c r="I38" s="162" t="s">
        <v>323</v>
      </c>
      <c r="J38" s="162" t="s">
        <v>324</v>
      </c>
      <c r="K38" s="161" t="s">
        <v>325</v>
      </c>
      <c r="L38" s="13" t="s">
        <v>326</v>
      </c>
      <c r="M38" s="13" t="s">
        <v>54</v>
      </c>
      <c r="N38" s="13" t="s">
        <v>262</v>
      </c>
      <c r="O38" s="13" t="s">
        <v>258</v>
      </c>
      <c r="P38" s="13" t="s">
        <v>54</v>
      </c>
      <c r="Q38" s="13" t="s">
        <v>36</v>
      </c>
      <c r="R38" s="13">
        <v>2021</v>
      </c>
      <c r="S38" s="13" t="s">
        <v>70</v>
      </c>
      <c r="T38" s="33">
        <v>2</v>
      </c>
      <c r="U38" s="33" t="s">
        <v>399</v>
      </c>
      <c r="V38" s="13">
        <v>4</v>
      </c>
      <c r="W38" s="13"/>
      <c r="X38" s="13" t="s">
        <v>70</v>
      </c>
      <c r="Y38" s="13">
        <f t="shared" ca="1" si="6"/>
        <v>0</v>
      </c>
    </row>
    <row r="39" spans="1:31" ht="45" x14ac:dyDescent="0.25">
      <c r="A39" s="163"/>
      <c r="B39" s="162" t="s">
        <v>322</v>
      </c>
      <c r="C39" s="162"/>
      <c r="D39" s="68" t="str">
        <f t="shared" si="1"/>
        <v>Strategy&amp;</v>
      </c>
      <c r="E39" s="68" t="str">
        <f t="shared" si="2"/>
        <v>Report: HyWay 27: hydrogen transmission using the existing natural gas grid?</v>
      </c>
      <c r="F39" s="68" t="str">
        <f t="shared" si="10"/>
        <v/>
      </c>
      <c r="G39" s="68" t="str">
        <f t="shared" si="4"/>
        <v>Report: HyWay 27: hydrogen transmission using the existing natural gas grid? - for Repurposed - size M (36 inch)</v>
      </c>
      <c r="H39" s="13">
        <v>92</v>
      </c>
      <c r="I39" s="162"/>
      <c r="J39" s="162"/>
      <c r="K39" s="161"/>
      <c r="L39" s="13" t="s">
        <v>327</v>
      </c>
      <c r="M39" s="13" t="s">
        <v>54</v>
      </c>
      <c r="N39" s="13" t="s">
        <v>262</v>
      </c>
      <c r="O39" s="13" t="s">
        <v>268</v>
      </c>
      <c r="P39" s="13" t="s">
        <v>54</v>
      </c>
      <c r="Q39" s="13" t="s">
        <v>36</v>
      </c>
      <c r="R39" s="13">
        <v>2021</v>
      </c>
      <c r="S39" s="13" t="s">
        <v>70</v>
      </c>
      <c r="T39" s="33">
        <v>2</v>
      </c>
      <c r="U39" s="33" t="s">
        <v>399</v>
      </c>
      <c r="V39" s="13">
        <v>0</v>
      </c>
      <c r="W39" s="13" t="s">
        <v>268</v>
      </c>
      <c r="X39" s="13" t="s">
        <v>36</v>
      </c>
      <c r="Y39" s="13">
        <f t="shared" ca="1" si="6"/>
        <v>0</v>
      </c>
    </row>
    <row r="40" spans="1:31" ht="409.5" x14ac:dyDescent="0.25">
      <c r="A40" s="18" t="s">
        <v>328</v>
      </c>
      <c r="B40" s="162" t="s">
        <v>329</v>
      </c>
      <c r="C40" s="162"/>
      <c r="D40" s="68" t="str">
        <f t="shared" si="1"/>
        <v>Transition Accelerator</v>
      </c>
      <c r="E40" s="68" t="str">
        <f t="shared" si="2"/>
        <v xml:space="preserve"> Technical Brief, The Techno-Economics of Hydrogen Pipelines</v>
      </c>
      <c r="F40" s="68" t="str">
        <f t="shared" si="10"/>
        <v>Transition Accelerator</v>
      </c>
      <c r="G40" s="68" t="str">
        <f t="shared" si="4"/>
        <v xml:space="preserve"> Technical Brief, The Techno-Economics of Hydrogen Pipelines - for New - size M (36 inch)</v>
      </c>
      <c r="H40" s="13">
        <v>613</v>
      </c>
      <c r="I40" s="13" t="s">
        <v>330</v>
      </c>
      <c r="J40" s="13" t="s">
        <v>331</v>
      </c>
      <c r="K40" s="82" t="s">
        <v>332</v>
      </c>
      <c r="L40" s="13" t="s">
        <v>333</v>
      </c>
      <c r="M40" s="13" t="s">
        <v>54</v>
      </c>
      <c r="N40" s="13" t="s">
        <v>262</v>
      </c>
      <c r="O40" s="13" t="s">
        <v>258</v>
      </c>
      <c r="P40" s="13" t="s">
        <v>36</v>
      </c>
      <c r="Q40" s="13" t="s">
        <v>36</v>
      </c>
      <c r="R40" s="13">
        <v>2021</v>
      </c>
      <c r="S40" s="13" t="s">
        <v>36</v>
      </c>
      <c r="T40" s="13">
        <v>3</v>
      </c>
      <c r="U40" s="13" t="s">
        <v>402</v>
      </c>
      <c r="V40" s="13">
        <v>3</v>
      </c>
      <c r="W40" s="13" t="s">
        <v>320</v>
      </c>
      <c r="X40" s="13" t="s">
        <v>36</v>
      </c>
      <c r="Y40" s="13">
        <f t="shared" ca="1" si="6"/>
        <v>9</v>
      </c>
    </row>
    <row r="41" spans="1:31" x14ac:dyDescent="0.25">
      <c r="B41"/>
      <c r="C41"/>
      <c r="D41"/>
      <c r="E41"/>
      <c r="F41"/>
      <c r="G41"/>
      <c r="H41"/>
      <c r="Z41" s="73" t="s">
        <v>248</v>
      </c>
      <c r="AA41" t="s">
        <v>334</v>
      </c>
    </row>
    <row r="42" spans="1:31" x14ac:dyDescent="0.25">
      <c r="B42"/>
      <c r="C42"/>
      <c r="D42"/>
      <c r="E42"/>
      <c r="F42"/>
      <c r="G42"/>
      <c r="H42"/>
      <c r="Z42" s="73" t="s">
        <v>241</v>
      </c>
      <c r="AA42" t="s">
        <v>335</v>
      </c>
    </row>
    <row r="43" spans="1:31" x14ac:dyDescent="0.25">
      <c r="B43"/>
      <c r="C43"/>
      <c r="D43"/>
      <c r="E43"/>
      <c r="F43"/>
      <c r="G43"/>
      <c r="H43"/>
      <c r="Z43" s="73" t="s">
        <v>246</v>
      </c>
      <c r="AA43" t="s">
        <v>334</v>
      </c>
    </row>
    <row r="44" spans="1:31" x14ac:dyDescent="0.25">
      <c r="B44"/>
      <c r="C44"/>
      <c r="D44"/>
      <c r="E44"/>
      <c r="F44"/>
      <c r="G44"/>
      <c r="H44"/>
    </row>
    <row r="45" spans="1:31" x14ac:dyDescent="0.25">
      <c r="B45"/>
      <c r="C45"/>
      <c r="D45"/>
      <c r="E45"/>
      <c r="F45"/>
      <c r="G45"/>
      <c r="H45"/>
      <c r="Z45" s="73" t="s">
        <v>336</v>
      </c>
      <c r="AA45" s="73" t="s">
        <v>337</v>
      </c>
    </row>
    <row r="46" spans="1:31" x14ac:dyDescent="0.25">
      <c r="B46"/>
      <c r="C46" s="34"/>
      <c r="D46" s="34"/>
      <c r="E46" s="34"/>
      <c r="F46"/>
      <c r="G46"/>
      <c r="H46"/>
      <c r="M46" s="10"/>
      <c r="N46" s="10"/>
      <c r="O46" s="10"/>
      <c r="P46" s="10"/>
      <c r="Q46" s="10"/>
      <c r="R46" s="10"/>
      <c r="S46" s="10"/>
      <c r="T46" s="10"/>
      <c r="U46" s="10"/>
      <c r="Z46" s="73" t="s">
        <v>338</v>
      </c>
      <c r="AA46" t="s">
        <v>318</v>
      </c>
      <c r="AB46" t="s">
        <v>265</v>
      </c>
      <c r="AC46" t="s">
        <v>262</v>
      </c>
      <c r="AD46" t="s">
        <v>54</v>
      </c>
      <c r="AE46" t="s">
        <v>257</v>
      </c>
    </row>
    <row r="47" spans="1:31" x14ac:dyDescent="0.25">
      <c r="B47"/>
      <c r="C47" s="34"/>
      <c r="D47" s="34"/>
      <c r="E47" s="34"/>
      <c r="F47"/>
      <c r="G47"/>
      <c r="H47"/>
      <c r="M47" s="10"/>
      <c r="N47" s="10"/>
      <c r="O47" s="10"/>
      <c r="P47" s="10"/>
      <c r="Q47" s="10"/>
      <c r="R47" s="10"/>
      <c r="S47" s="10"/>
      <c r="T47" s="10"/>
      <c r="U47" s="10"/>
      <c r="Z47" s="11" t="s">
        <v>313</v>
      </c>
    </row>
    <row r="48" spans="1:31" x14ac:dyDescent="0.25">
      <c r="Z48" s="74" t="s">
        <v>314</v>
      </c>
      <c r="AA48" s="88">
        <v>568</v>
      </c>
      <c r="AB48" s="88"/>
      <c r="AC48" s="88"/>
      <c r="AD48" s="88"/>
      <c r="AE48" s="88"/>
    </row>
    <row r="49" spans="26:31" x14ac:dyDescent="0.25">
      <c r="Z49" s="11" t="s">
        <v>321</v>
      </c>
    </row>
    <row r="50" spans="26:31" x14ac:dyDescent="0.25">
      <c r="Z50" s="74" t="s">
        <v>322</v>
      </c>
      <c r="AA50" s="88"/>
      <c r="AB50" s="88"/>
      <c r="AC50" s="88">
        <v>352</v>
      </c>
      <c r="AD50" s="88"/>
      <c r="AE50" s="88"/>
    </row>
    <row r="51" spans="26:31" x14ac:dyDescent="0.25">
      <c r="Z51" s="11" t="s">
        <v>309</v>
      </c>
    </row>
    <row r="52" spans="26:31" x14ac:dyDescent="0.25">
      <c r="Z52" s="74" t="s">
        <v>296</v>
      </c>
      <c r="AC52">
        <v>454.5</v>
      </c>
    </row>
    <row r="53" spans="26:31" x14ac:dyDescent="0.25">
      <c r="Z53" s="11" t="s">
        <v>328</v>
      </c>
    </row>
    <row r="54" spans="26:31" x14ac:dyDescent="0.25">
      <c r="Z54" s="74" t="s">
        <v>329</v>
      </c>
      <c r="AA54" s="88"/>
      <c r="AB54" s="88"/>
      <c r="AC54" s="88">
        <v>613</v>
      </c>
      <c r="AD54" s="88"/>
      <c r="AE54" s="88"/>
    </row>
    <row r="55" spans="26:31" x14ac:dyDescent="0.25">
      <c r="Z55" s="11" t="s">
        <v>305</v>
      </c>
    </row>
    <row r="56" spans="26:31" x14ac:dyDescent="0.25">
      <c r="Z56" s="74" t="s">
        <v>296</v>
      </c>
      <c r="AC56">
        <v>1086.6666666666667</v>
      </c>
    </row>
    <row r="57" spans="26:31" x14ac:dyDescent="0.25">
      <c r="Z57" s="11" t="s">
        <v>276</v>
      </c>
    </row>
    <row r="58" spans="26:31" x14ac:dyDescent="0.25">
      <c r="Z58" s="74" t="s">
        <v>296</v>
      </c>
      <c r="AC58">
        <v>941.66666666666663</v>
      </c>
    </row>
    <row r="59" spans="26:31" x14ac:dyDescent="0.25">
      <c r="Z59" s="74" t="s">
        <v>277</v>
      </c>
      <c r="AB59">
        <v>352.53846153846155</v>
      </c>
      <c r="AC59">
        <v>700.63829787234044</v>
      </c>
      <c r="AE59">
        <v>1521.6666666666667</v>
      </c>
    </row>
    <row r="60" spans="26:31" x14ac:dyDescent="0.25">
      <c r="Z60" s="11" t="s">
        <v>250</v>
      </c>
    </row>
    <row r="61" spans="26:31" x14ac:dyDescent="0.25">
      <c r="Z61" s="74" t="s">
        <v>272</v>
      </c>
      <c r="AC61">
        <v>326</v>
      </c>
    </row>
    <row r="62" spans="26:31" x14ac:dyDescent="0.25">
      <c r="Z62" s="74" t="s">
        <v>255</v>
      </c>
      <c r="AB62">
        <v>270.30769230769232</v>
      </c>
      <c r="AC62">
        <v>721.28712871287132</v>
      </c>
      <c r="AE62">
        <v>1833.6666666666667</v>
      </c>
    </row>
    <row r="63" spans="26:31" x14ac:dyDescent="0.25">
      <c r="Z63" s="74" t="s">
        <v>251</v>
      </c>
      <c r="AD63">
        <v>529</v>
      </c>
    </row>
  </sheetData>
  <mergeCells count="36">
    <mergeCell ref="M3:Q3"/>
    <mergeCell ref="R3:S3"/>
    <mergeCell ref="Y2:Y3"/>
    <mergeCell ref="A38:A39"/>
    <mergeCell ref="B38:C38"/>
    <mergeCell ref="B39:C39"/>
    <mergeCell ref="A5:A12"/>
    <mergeCell ref="I38:I39"/>
    <mergeCell ref="K36:K37"/>
    <mergeCell ref="J36:J37"/>
    <mergeCell ref="J13:J22"/>
    <mergeCell ref="K13:K22"/>
    <mergeCell ref="I13:I22"/>
    <mergeCell ref="I36:I37"/>
    <mergeCell ref="K38:K39"/>
    <mergeCell ref="K23:K35"/>
    <mergeCell ref="B40:C40"/>
    <mergeCell ref="A29:A31"/>
    <mergeCell ref="B5:C5"/>
    <mergeCell ref="B12:C12"/>
    <mergeCell ref="B36:C36"/>
    <mergeCell ref="B37:C37"/>
    <mergeCell ref="A36:A37"/>
    <mergeCell ref="A32:A35"/>
    <mergeCell ref="J38:J39"/>
    <mergeCell ref="I23:I35"/>
    <mergeCell ref="J32:J35"/>
    <mergeCell ref="J23:J28"/>
    <mergeCell ref="J29:J31"/>
    <mergeCell ref="K5:K12"/>
    <mergeCell ref="B6:C11"/>
    <mergeCell ref="A13:A28"/>
    <mergeCell ref="B23:B35"/>
    <mergeCell ref="B13:C22"/>
    <mergeCell ref="J6:J11"/>
    <mergeCell ref="I6:I11"/>
  </mergeCells>
  <phoneticPr fontId="5" type="noConversion"/>
  <conditionalFormatting sqref="M5:M40 O5:Q40">
    <cfRule type="cellIs" dxfId="15" priority="11" operator="equal">
      <formula>"Not specified"</formula>
    </cfRule>
  </conditionalFormatting>
  <conditionalFormatting sqref="M5:M40">
    <cfRule type="cellIs" dxfId="14" priority="12" operator="equal">
      <formula>"Offshore"</formula>
    </cfRule>
    <cfRule type="cellIs" dxfId="13" priority="13" operator="equal">
      <formula>"Onshore"</formula>
    </cfRule>
  </conditionalFormatting>
  <conditionalFormatting sqref="O5:O40">
    <cfRule type="cellIs" dxfId="12" priority="9" operator="equal">
      <formula>"Repurposed"</formula>
    </cfRule>
    <cfRule type="cellIs" dxfId="11" priority="10" operator="equal">
      <formula>"New"</formula>
    </cfRule>
  </conditionalFormatting>
  <conditionalFormatting sqref="P5:Q40 S5:S40 X5:X40">
    <cfRule type="cellIs" dxfId="10" priority="17" operator="equal">
      <formula>"Yes"</formula>
    </cfRule>
  </conditionalFormatting>
  <conditionalFormatting sqref="R5:R40">
    <cfRule type="cellIs" dxfId="9" priority="15" operator="lessThan">
      <formula>2020</formula>
    </cfRule>
  </conditionalFormatting>
  <conditionalFormatting sqref="S5:S40 X5:X40">
    <cfRule type="cellIs" dxfId="8" priority="16" operator="equal">
      <formula>"No"</formula>
    </cfRule>
  </conditionalFormatting>
  <conditionalFormatting sqref="U13:U31">
    <cfRule type="colorScale" priority="1">
      <colorScale>
        <cfvo type="min"/>
        <cfvo type="percentile" val="50"/>
        <cfvo type="max"/>
        <color rgb="FFFFC7CE"/>
        <color rgb="FFFFEB9C"/>
        <color rgb="FFC6EFCE"/>
      </colorScale>
    </cfRule>
  </conditionalFormatting>
  <conditionalFormatting sqref="W23:W25">
    <cfRule type="cellIs" dxfId="7" priority="3" operator="equal">
      <formula>"No"</formula>
    </cfRule>
    <cfRule type="containsText" dxfId="6" priority="4" operator="containsText" text="Yes">
      <formula>NOT(ISERROR(SEARCH("Yes",W23)))</formula>
    </cfRule>
    <cfRule type="colorScale" priority="5">
      <colorScale>
        <cfvo type="min"/>
        <cfvo type="percentile" val="50"/>
        <cfvo type="max"/>
        <color rgb="FFFFC7CE"/>
        <color rgb="FFFFEB9C"/>
        <color rgb="FFC6EFCE"/>
      </colorScale>
    </cfRule>
  </conditionalFormatting>
  <conditionalFormatting sqref="W29:W33">
    <cfRule type="cellIs" dxfId="5" priority="6" operator="equal">
      <formula>"No"</formula>
    </cfRule>
    <cfRule type="containsText" dxfId="4" priority="7" operator="containsText" text="Yes">
      <formula>NOT(ISERROR(SEARCH("Yes",W29)))</formula>
    </cfRule>
    <cfRule type="colorScale" priority="8">
      <colorScale>
        <cfvo type="min"/>
        <cfvo type="percentile" val="50"/>
        <cfvo type="max"/>
        <color rgb="FFFFC7CE"/>
        <color rgb="FFFFEB9C"/>
        <color rgb="FFC6EFCE"/>
      </colorScale>
    </cfRule>
  </conditionalFormatting>
  <conditionalFormatting sqref="W41:W43 T32:V32 T5:W12 V13:W22 V23:V25 V26:W28 T13:T31 V29:V31 V33 V34:W35 T33:U35 T36:W40">
    <cfRule type="colorScale" priority="630">
      <colorScale>
        <cfvo type="min"/>
        <cfvo type="percentile" val="50"/>
        <cfvo type="max"/>
        <color rgb="FFFFC7CE"/>
        <color rgb="FFFFEB9C"/>
        <color rgb="FFC6EFCE"/>
      </colorScale>
    </cfRule>
  </conditionalFormatting>
  <conditionalFormatting sqref="Y13:Y40">
    <cfRule type="colorScale" priority="2">
      <colorScale>
        <cfvo type="min"/>
        <cfvo type="percentile" val="50"/>
        <cfvo type="max"/>
        <color rgb="FFFFC7CE"/>
        <color rgb="FFFFEB9C"/>
        <color rgb="FFC6EFCE"/>
      </colorScale>
    </cfRule>
  </conditionalFormatting>
  <conditionalFormatting sqref="Y41:Y43">
    <cfRule type="colorScale" priority="577">
      <colorScale>
        <cfvo type="min"/>
        <cfvo type="percentile" val="50"/>
        <cfvo type="max"/>
        <color rgb="FFFFC7CE"/>
        <color rgb="FFFFEB9C"/>
        <color rgb="FFC6EFCE"/>
      </colorScale>
    </cfRule>
  </conditionalFormatting>
  <dataValidations count="2">
    <dataValidation type="list" allowBlank="1" showInputMessage="1" showErrorMessage="1" sqref="X5:X40 Q5:Q40 S5:S40" xr:uid="{6BAD3534-1AA5-45C2-930D-3D97E519C633}">
      <formula1>"Yes,No"</formula1>
    </dataValidation>
    <dataValidation type="list" allowBlank="1" showInputMessage="1" showErrorMessage="1" sqref="V5:V40 T5:T40" xr:uid="{B2E169BF-641C-40E4-A8CA-58C7EF93BCAF}">
      <formula1>"0,1,2,3,4"</formula1>
    </dataValidation>
  </dataValidations>
  <hyperlinks>
    <hyperlink ref="K5" r:id="rId2" xr:uid="{060B76C3-37D9-477A-9508-AEBFB60E5FA6}"/>
    <hyperlink ref="K36" r:id="rId3" xr:uid="{1BEAA40E-B243-4895-84E2-49CAE633CB2D}"/>
    <hyperlink ref="K40" r:id="rId4" xr:uid="{27C9D647-84AF-4D33-9130-2DEEA08D702C}"/>
    <hyperlink ref="K38" r:id="rId5" xr:uid="{E32A8DCD-4074-4259-9EBD-132EA65D50D6}"/>
    <hyperlink ref="K23:K31" r:id="rId6" display="https://aquaventus.org/wp-content/uploads/2023/03/DNV-Study_Specification_of_a_European_Offshore_Hydrogen_Backbone.pdf" xr:uid="{FAE600A1-AE0A-4403-A0B0-B4F711DB4920}"/>
  </hyperlinks>
  <pageMargins left="0.7" right="0.7" top="0.75" bottom="0.75" header="0.3" footer="0.3"/>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7DFA8-2850-4A4F-9795-94F4D013DCAA}">
  <sheetPr codeName="Feuil6"/>
  <dimension ref="A1:V36"/>
  <sheetViews>
    <sheetView zoomScale="85" zoomScaleNormal="85" workbookViewId="0">
      <pane xSplit="6" ySplit="4" topLeftCell="G5" activePane="bottomRight" state="frozen"/>
      <selection pane="topRight" activeCell="G1" sqref="G1"/>
      <selection pane="bottomLeft" activeCell="A4" sqref="A4"/>
      <selection pane="bottomRight" activeCell="V11" sqref="V11"/>
    </sheetView>
  </sheetViews>
  <sheetFormatPr defaultColWidth="11.42578125" defaultRowHeight="15" x14ac:dyDescent="0.25"/>
  <cols>
    <col min="1" max="1" width="12" customWidth="1"/>
    <col min="2" max="2" width="33.7109375" style="17" customWidth="1"/>
    <col min="3" max="3" width="11.28515625" style="69" customWidth="1"/>
    <col min="4" max="5" width="0.140625" style="17" customWidth="1"/>
    <col min="6" max="6" width="9.140625" style="17" customWidth="1"/>
    <col min="7" max="7" width="30.42578125" style="17" customWidth="1"/>
    <col min="8" max="8" width="13.42578125" style="17" customWidth="1"/>
    <col min="9" max="9" width="11.28515625" style="11" customWidth="1"/>
    <col min="10" max="10" width="9.7109375" customWidth="1"/>
    <col min="11" max="11" width="7.42578125" customWidth="1"/>
    <col min="12" max="12" width="12.140625" style="10" customWidth="1"/>
    <col min="13" max="13" width="8.28515625" customWidth="1"/>
    <col min="14" max="14" width="9.28515625" customWidth="1"/>
    <col min="15" max="15" width="11.140625" customWidth="1"/>
    <col min="16" max="16" width="9.140625" customWidth="1"/>
    <col min="17" max="17" width="11.85546875" customWidth="1"/>
    <col min="18" max="18" width="15.7109375" customWidth="1"/>
    <col min="19" max="19" width="10.7109375" customWidth="1"/>
    <col min="20" max="20" width="21.140625" customWidth="1"/>
    <col min="21" max="21" width="13.5703125" customWidth="1"/>
    <col min="22" max="22" width="16.7109375" customWidth="1"/>
  </cols>
  <sheetData>
    <row r="1" spans="1:22" ht="21" x14ac:dyDescent="0.35">
      <c r="A1" s="39" t="s">
        <v>429</v>
      </c>
    </row>
    <row r="2" spans="1:22" ht="45.6" customHeight="1" x14ac:dyDescent="0.25">
      <c r="V2" s="147" t="s">
        <v>380</v>
      </c>
    </row>
    <row r="3" spans="1:22" x14ac:dyDescent="0.25">
      <c r="K3" s="93"/>
      <c r="L3" s="151" t="s">
        <v>381</v>
      </c>
      <c r="M3" s="151"/>
      <c r="N3" s="151"/>
      <c r="O3" s="151" t="s">
        <v>400</v>
      </c>
      <c r="P3" s="151"/>
      <c r="Q3" s="93"/>
      <c r="U3" s="90" t="s">
        <v>400</v>
      </c>
      <c r="V3" s="148"/>
    </row>
    <row r="4" spans="1:22" ht="60" x14ac:dyDescent="0.25">
      <c r="A4" s="24" t="s">
        <v>14</v>
      </c>
      <c r="B4" s="199" t="s">
        <v>15</v>
      </c>
      <c r="C4" s="199"/>
      <c r="D4" s="85" t="s">
        <v>16</v>
      </c>
      <c r="E4" s="85" t="s">
        <v>17</v>
      </c>
      <c r="F4" s="24" t="s">
        <v>339</v>
      </c>
      <c r="G4" s="25" t="s">
        <v>19</v>
      </c>
      <c r="H4" s="25" t="s">
        <v>245</v>
      </c>
      <c r="I4" s="81" t="s">
        <v>20</v>
      </c>
      <c r="J4" s="24" t="s">
        <v>121</v>
      </c>
      <c r="K4" s="24" t="s">
        <v>340</v>
      </c>
      <c r="L4" s="24" t="s">
        <v>341</v>
      </c>
      <c r="M4" s="24" t="s">
        <v>125</v>
      </c>
      <c r="N4" s="25" t="s">
        <v>25</v>
      </c>
      <c r="O4" s="25" t="s">
        <v>24</v>
      </c>
      <c r="P4" s="25" t="s">
        <v>404</v>
      </c>
      <c r="Q4" s="25" t="s">
        <v>377</v>
      </c>
      <c r="R4" s="25" t="s">
        <v>378</v>
      </c>
      <c r="S4" s="25" t="s">
        <v>379</v>
      </c>
      <c r="T4" s="25" t="s">
        <v>26</v>
      </c>
      <c r="U4" s="25" t="s">
        <v>27</v>
      </c>
      <c r="V4" s="25" t="s">
        <v>28</v>
      </c>
    </row>
    <row r="5" spans="1:22" ht="30" x14ac:dyDescent="0.25">
      <c r="A5" s="197" t="s">
        <v>250</v>
      </c>
      <c r="B5" s="189" t="s">
        <v>342</v>
      </c>
      <c r="C5" s="189"/>
      <c r="D5" s="86" t="str">
        <f t="shared" ref="D5:D36" si="0">IF(ISBLANK(A5), "", IF(ISBLANK(A6), A5, " "))</f>
        <v>TYNDP 2024</v>
      </c>
      <c r="E5" s="86" t="str">
        <f>_xlfn.CONCAT(IF(D5=" ", _xlfn.CONCAT(A5, " - ", IF(ISBLANK(M5),B5,B5&amp;" - for "&amp;M5&amp;" - technology "&amp;L5)), IF(ISBLANK(M5),B5,B5&amp;" - for "&amp;M5&amp;" - technology "&amp;L5)),IF(ISBLANK(C5), "", _xlfn.CONCAT(" (",C5,")")))</f>
        <v>Scenarios DE &amp; GA - for 2020 - technology Not specified</v>
      </c>
      <c r="F5" s="35">
        <v>0.66</v>
      </c>
      <c r="G5" s="189" t="s">
        <v>343</v>
      </c>
      <c r="H5" s="189" t="s">
        <v>54</v>
      </c>
      <c r="I5" s="198" t="s">
        <v>130</v>
      </c>
      <c r="J5" s="35">
        <v>0.66</v>
      </c>
      <c r="K5" s="171" t="s">
        <v>175</v>
      </c>
      <c r="L5" s="32" t="s">
        <v>54</v>
      </c>
      <c r="M5" s="64">
        <v>2020</v>
      </c>
      <c r="N5" s="13" t="s">
        <v>36</v>
      </c>
      <c r="O5" s="32">
        <v>2025</v>
      </c>
      <c r="P5" s="13" t="s">
        <v>36</v>
      </c>
      <c r="Q5" s="13">
        <v>4</v>
      </c>
      <c r="R5" s="13"/>
      <c r="S5" s="13">
        <v>4</v>
      </c>
      <c r="T5" s="13"/>
      <c r="U5" s="13" t="s">
        <v>36</v>
      </c>
      <c r="V5" s="13"/>
    </row>
    <row r="6" spans="1:22" ht="30" x14ac:dyDescent="0.25">
      <c r="A6" s="197"/>
      <c r="B6" s="189" t="s">
        <v>342</v>
      </c>
      <c r="C6" s="189"/>
      <c r="D6" s="86" t="str">
        <f t="shared" si="0"/>
        <v/>
      </c>
      <c r="E6" s="86" t="str">
        <f>_xlfn.CONCAT(IF(D6=" ", _xlfn.CONCAT(A6, " - ", IF(ISBLANK(M6),B6,B6&amp;" - for "&amp;M6&amp;" - technology "&amp;L6)), IF(ISBLANK(M6),B6,B6&amp;" - for "&amp;M6&amp;" - technology "&amp;L6)),IF(ISBLANK(C6), "", _xlfn.CONCAT(" (",C6,")")))</f>
        <v>Scenarios DE &amp; GA - for 2025 - technology Not specified</v>
      </c>
      <c r="F6" s="35">
        <v>0.68</v>
      </c>
      <c r="G6" s="189"/>
      <c r="H6" s="189"/>
      <c r="I6" s="198"/>
      <c r="J6" s="35">
        <v>0.68</v>
      </c>
      <c r="K6" s="172"/>
      <c r="L6" s="32" t="s">
        <v>54</v>
      </c>
      <c r="M6" s="64">
        <v>2025</v>
      </c>
      <c r="N6" s="13" t="s">
        <v>36</v>
      </c>
      <c r="O6" s="32">
        <v>2025</v>
      </c>
      <c r="P6" s="13" t="s">
        <v>36</v>
      </c>
      <c r="Q6" s="13">
        <v>4</v>
      </c>
      <c r="R6" s="13"/>
      <c r="S6" s="13">
        <v>4</v>
      </c>
      <c r="T6" s="13"/>
      <c r="U6" s="13" t="s">
        <v>36</v>
      </c>
      <c r="V6" s="13"/>
    </row>
    <row r="7" spans="1:22" ht="30" x14ac:dyDescent="0.25">
      <c r="A7" s="197"/>
      <c r="B7" s="189" t="s">
        <v>342</v>
      </c>
      <c r="C7" s="189"/>
      <c r="D7" s="86" t="str">
        <f t="shared" si="0"/>
        <v/>
      </c>
      <c r="E7" s="86" t="str">
        <f t="shared" ref="E7:E36" si="1">_xlfn.CONCAT(IF(D7=" ", _xlfn.CONCAT(A7, " - ", IF(ISBLANK(M7),B7,B7&amp;" - for "&amp;M7&amp;" - technology "&amp;L7)), IF(ISBLANK(M7),B7,B7&amp;" - for "&amp;M7&amp;" - technology "&amp;L7)),IF(ISBLANK(C7), "", _xlfn.CONCAT(" (",C7,")")))</f>
        <v>Scenarios DE &amp; GA - for 2030 - technology Not specified</v>
      </c>
      <c r="F7" s="35">
        <v>0.69</v>
      </c>
      <c r="G7" s="189"/>
      <c r="H7" s="189"/>
      <c r="I7" s="198"/>
      <c r="J7" s="35">
        <v>0.69</v>
      </c>
      <c r="K7" s="172"/>
      <c r="L7" s="32" t="s">
        <v>54</v>
      </c>
      <c r="M7" s="41">
        <v>2030</v>
      </c>
      <c r="N7" s="13" t="s">
        <v>36</v>
      </c>
      <c r="O7" s="32">
        <v>2025</v>
      </c>
      <c r="P7" s="13" t="s">
        <v>36</v>
      </c>
      <c r="Q7" s="13">
        <v>4</v>
      </c>
      <c r="R7" s="13"/>
      <c r="S7" s="13">
        <v>4</v>
      </c>
      <c r="T7" s="13"/>
      <c r="U7" s="13" t="s">
        <v>36</v>
      </c>
      <c r="V7" s="13"/>
    </row>
    <row r="8" spans="1:22" ht="30" x14ac:dyDescent="0.25">
      <c r="A8" s="197"/>
      <c r="B8" s="189" t="s">
        <v>342</v>
      </c>
      <c r="C8" s="189"/>
      <c r="D8" s="86" t="str">
        <f t="shared" si="0"/>
        <v/>
      </c>
      <c r="E8" s="86" t="str">
        <f t="shared" si="1"/>
        <v>Scenarios DE &amp; GA - for 2040 - technology Not specified</v>
      </c>
      <c r="F8" s="35">
        <v>0.71</v>
      </c>
      <c r="G8" s="189"/>
      <c r="H8" s="189"/>
      <c r="I8" s="198"/>
      <c r="J8" s="35">
        <v>0.71</v>
      </c>
      <c r="K8" s="172"/>
      <c r="L8" s="32" t="s">
        <v>54</v>
      </c>
      <c r="M8" s="41">
        <v>2040</v>
      </c>
      <c r="N8" s="13" t="s">
        <v>36</v>
      </c>
      <c r="O8" s="32">
        <v>2025</v>
      </c>
      <c r="P8" s="13" t="s">
        <v>36</v>
      </c>
      <c r="Q8" s="13">
        <v>4</v>
      </c>
      <c r="R8" s="13"/>
      <c r="S8" s="13">
        <v>4</v>
      </c>
      <c r="T8" s="13"/>
      <c r="U8" s="13" t="s">
        <v>36</v>
      </c>
      <c r="V8" s="13"/>
    </row>
    <row r="9" spans="1:22" ht="30" x14ac:dyDescent="0.25">
      <c r="A9" s="197"/>
      <c r="B9" s="189" t="s">
        <v>342</v>
      </c>
      <c r="C9" s="189"/>
      <c r="D9" s="86" t="str">
        <f t="shared" si="0"/>
        <v/>
      </c>
      <c r="E9" s="86" t="str">
        <f t="shared" si="1"/>
        <v>Scenarios DE &amp; GA - for 2050 - technology Not specified</v>
      </c>
      <c r="F9" s="35">
        <v>0.74</v>
      </c>
      <c r="G9" s="189"/>
      <c r="H9" s="189"/>
      <c r="I9" s="198"/>
      <c r="J9" s="35">
        <v>0.74</v>
      </c>
      <c r="K9" s="173"/>
      <c r="L9" s="32" t="s">
        <v>54</v>
      </c>
      <c r="M9" s="41">
        <v>2050</v>
      </c>
      <c r="N9" s="13" t="s">
        <v>36</v>
      </c>
      <c r="O9" s="32">
        <v>2025</v>
      </c>
      <c r="P9" s="13" t="s">
        <v>36</v>
      </c>
      <c r="Q9" s="13">
        <v>4</v>
      </c>
      <c r="R9" s="13"/>
      <c r="S9" s="13">
        <v>4</v>
      </c>
      <c r="T9" s="13"/>
      <c r="U9" s="13" t="s">
        <v>36</v>
      </c>
      <c r="V9" s="13"/>
    </row>
    <row r="10" spans="1:22" ht="30" x14ac:dyDescent="0.25">
      <c r="A10" s="163" t="s">
        <v>344</v>
      </c>
      <c r="B10" s="162" t="s">
        <v>345</v>
      </c>
      <c r="C10" s="71"/>
      <c r="D10" s="86" t="str">
        <f t="shared" si="0"/>
        <v>IEA</v>
      </c>
      <c r="E10" s="86" t="str">
        <f t="shared" si="1"/>
        <v>The Future of Hydrogen - for 2030 - technology Not specified</v>
      </c>
      <c r="F10" s="26">
        <v>0.69</v>
      </c>
      <c r="G10" s="162" t="s">
        <v>346</v>
      </c>
      <c r="H10" s="13" t="s">
        <v>54</v>
      </c>
      <c r="I10" s="161" t="s">
        <v>347</v>
      </c>
      <c r="J10" s="26">
        <v>0.69</v>
      </c>
      <c r="K10" s="162" t="s">
        <v>175</v>
      </c>
      <c r="L10" s="13" t="s">
        <v>54</v>
      </c>
      <c r="M10" s="41">
        <v>2030</v>
      </c>
      <c r="N10" s="13" t="s">
        <v>36</v>
      </c>
      <c r="O10" s="13">
        <v>2020</v>
      </c>
      <c r="P10" s="13" t="s">
        <v>36</v>
      </c>
      <c r="Q10" s="13">
        <v>4</v>
      </c>
      <c r="R10" s="13"/>
      <c r="S10" s="13">
        <v>4</v>
      </c>
      <c r="T10" s="13"/>
      <c r="U10" s="13" t="s">
        <v>36</v>
      </c>
      <c r="V10" s="13">
        <f ca="1">IF(OR(YEAR(TODAY())-O10&gt;6,P10="No", U10="No"),0,Q10+2*S10)</f>
        <v>12</v>
      </c>
    </row>
    <row r="11" spans="1:22" ht="30" x14ac:dyDescent="0.25">
      <c r="A11" s="163"/>
      <c r="B11" s="162"/>
      <c r="C11" s="72" t="s">
        <v>348</v>
      </c>
      <c r="D11" s="86" t="str">
        <f t="shared" si="0"/>
        <v/>
      </c>
      <c r="E11" s="86" t="str">
        <f t="shared" si="1"/>
        <v xml:space="preserve"> - for 2019 - technology Alkaline (Lower band)</v>
      </c>
      <c r="F11" s="26">
        <v>0.63</v>
      </c>
      <c r="G11" s="162"/>
      <c r="H11" s="162" t="s">
        <v>349</v>
      </c>
      <c r="I11" s="161"/>
      <c r="J11" s="26">
        <v>0.63</v>
      </c>
      <c r="K11" s="162"/>
      <c r="L11" s="87" t="s">
        <v>350</v>
      </c>
      <c r="M11" s="98">
        <v>2019</v>
      </c>
      <c r="N11" s="13" t="s">
        <v>36</v>
      </c>
      <c r="O11" s="13">
        <v>2020</v>
      </c>
      <c r="P11" s="13" t="s">
        <v>70</v>
      </c>
      <c r="Q11" s="13">
        <v>4</v>
      </c>
      <c r="R11" s="13" t="s">
        <v>344</v>
      </c>
      <c r="S11" s="13">
        <v>0</v>
      </c>
      <c r="T11" s="162" t="s">
        <v>351</v>
      </c>
      <c r="U11" s="13" t="s">
        <v>36</v>
      </c>
      <c r="V11" s="13">
        <f t="shared" ref="V11:V36" ca="1" si="2">IF(OR(YEAR(TODAY())-O11&gt;6,P11="No", U11="No"),0,Q11+2*S11)</f>
        <v>0</v>
      </c>
    </row>
    <row r="12" spans="1:22" ht="30" x14ac:dyDescent="0.25">
      <c r="A12" s="163"/>
      <c r="B12" s="162"/>
      <c r="C12" s="72" t="s">
        <v>352</v>
      </c>
      <c r="D12" s="86" t="str">
        <f t="shared" si="0"/>
        <v/>
      </c>
      <c r="E12" s="86" t="str">
        <f t="shared" si="1"/>
        <v xml:space="preserve"> - for 2019 - technology Alkaline (Upper band)</v>
      </c>
      <c r="F12" s="26">
        <v>0.7</v>
      </c>
      <c r="G12" s="162"/>
      <c r="H12" s="162"/>
      <c r="I12" s="161"/>
      <c r="J12" s="26">
        <v>0.7</v>
      </c>
      <c r="K12" s="162"/>
      <c r="L12" s="87" t="s">
        <v>350</v>
      </c>
      <c r="M12" s="64">
        <v>2019</v>
      </c>
      <c r="N12" s="13" t="s">
        <v>36</v>
      </c>
      <c r="O12" s="13">
        <v>2020</v>
      </c>
      <c r="P12" s="13" t="s">
        <v>70</v>
      </c>
      <c r="Q12" s="13">
        <v>4</v>
      </c>
      <c r="R12" s="13" t="s">
        <v>344</v>
      </c>
      <c r="S12" s="13">
        <v>0</v>
      </c>
      <c r="T12" s="162"/>
      <c r="U12" s="13" t="s">
        <v>36</v>
      </c>
      <c r="V12" s="13">
        <f t="shared" ca="1" si="2"/>
        <v>0</v>
      </c>
    </row>
    <row r="13" spans="1:22" ht="30" x14ac:dyDescent="0.25">
      <c r="A13" s="163"/>
      <c r="B13" s="162"/>
      <c r="C13" s="72" t="s">
        <v>348</v>
      </c>
      <c r="D13" s="86" t="str">
        <f t="shared" si="0"/>
        <v/>
      </c>
      <c r="E13" s="86" t="str">
        <f t="shared" si="1"/>
        <v xml:space="preserve"> - for 2030 - technology Alkaline (Lower band)</v>
      </c>
      <c r="F13" s="26">
        <v>0.65</v>
      </c>
      <c r="G13" s="162"/>
      <c r="H13" s="162"/>
      <c r="I13" s="161"/>
      <c r="J13" s="26">
        <v>0.65</v>
      </c>
      <c r="K13" s="162"/>
      <c r="L13" s="87" t="s">
        <v>350</v>
      </c>
      <c r="M13" s="41">
        <v>2030</v>
      </c>
      <c r="N13" s="13" t="s">
        <v>36</v>
      </c>
      <c r="O13" s="13">
        <v>2020</v>
      </c>
      <c r="P13" s="13" t="s">
        <v>70</v>
      </c>
      <c r="Q13" s="13">
        <v>4</v>
      </c>
      <c r="R13" s="13" t="s">
        <v>344</v>
      </c>
      <c r="S13" s="13">
        <v>2</v>
      </c>
      <c r="T13" s="162" t="s">
        <v>353</v>
      </c>
      <c r="U13" s="13" t="s">
        <v>36</v>
      </c>
      <c r="V13" s="13">
        <f t="shared" ca="1" si="2"/>
        <v>0</v>
      </c>
    </row>
    <row r="14" spans="1:22" ht="30" x14ac:dyDescent="0.25">
      <c r="A14" s="163"/>
      <c r="B14" s="162"/>
      <c r="C14" s="72" t="s">
        <v>352</v>
      </c>
      <c r="D14" s="86" t="str">
        <f t="shared" si="0"/>
        <v/>
      </c>
      <c r="E14" s="86" t="str">
        <f t="shared" si="1"/>
        <v xml:space="preserve"> - for 2030 - technology Alkaline (Upper band)</v>
      </c>
      <c r="F14" s="26">
        <v>0.71</v>
      </c>
      <c r="G14" s="162"/>
      <c r="H14" s="162"/>
      <c r="I14" s="161"/>
      <c r="J14" s="26">
        <v>0.71</v>
      </c>
      <c r="K14" s="162"/>
      <c r="L14" s="87" t="s">
        <v>350</v>
      </c>
      <c r="M14" s="41">
        <v>2030</v>
      </c>
      <c r="N14" s="13" t="s">
        <v>36</v>
      </c>
      <c r="O14" s="13">
        <v>2020</v>
      </c>
      <c r="P14" s="13" t="s">
        <v>70</v>
      </c>
      <c r="Q14" s="13">
        <v>4</v>
      </c>
      <c r="R14" s="13" t="s">
        <v>344</v>
      </c>
      <c r="S14" s="13">
        <v>2</v>
      </c>
      <c r="T14" s="162"/>
      <c r="U14" s="13" t="s">
        <v>36</v>
      </c>
      <c r="V14" s="13">
        <f t="shared" ca="1" si="2"/>
        <v>0</v>
      </c>
    </row>
    <row r="15" spans="1:22" ht="30" x14ac:dyDescent="0.25">
      <c r="A15" s="163"/>
      <c r="B15" s="162"/>
      <c r="C15" s="72" t="s">
        <v>348</v>
      </c>
      <c r="D15" s="86" t="str">
        <f t="shared" si="0"/>
        <v/>
      </c>
      <c r="E15" s="86" t="str">
        <f t="shared" si="1"/>
        <v xml:space="preserve"> - for Long term - technology Alkaline (Lower band)</v>
      </c>
      <c r="F15" s="26">
        <v>0.7</v>
      </c>
      <c r="G15" s="162"/>
      <c r="H15" s="162"/>
      <c r="I15" s="161"/>
      <c r="J15" s="26">
        <v>0.7</v>
      </c>
      <c r="K15" s="162"/>
      <c r="L15" s="87" t="s">
        <v>350</v>
      </c>
      <c r="M15" s="41" t="s">
        <v>354</v>
      </c>
      <c r="N15" s="13" t="s">
        <v>36</v>
      </c>
      <c r="O15" s="13">
        <v>2020</v>
      </c>
      <c r="P15" s="13" t="s">
        <v>70</v>
      </c>
      <c r="Q15" s="13">
        <v>4</v>
      </c>
      <c r="R15" s="13" t="s">
        <v>344</v>
      </c>
      <c r="S15" s="13">
        <v>2</v>
      </c>
      <c r="T15" s="162" t="s">
        <v>353</v>
      </c>
      <c r="U15" s="13" t="s">
        <v>36</v>
      </c>
      <c r="V15" s="13">
        <f t="shared" ca="1" si="2"/>
        <v>0</v>
      </c>
    </row>
    <row r="16" spans="1:22" ht="30" x14ac:dyDescent="0.25">
      <c r="A16" s="163"/>
      <c r="B16" s="162"/>
      <c r="C16" s="72" t="s">
        <v>352</v>
      </c>
      <c r="D16" s="86" t="str">
        <f t="shared" si="0"/>
        <v/>
      </c>
      <c r="E16" s="86" t="str">
        <f t="shared" si="1"/>
        <v xml:space="preserve"> - for Long term - technology Alkaline (Upper band)</v>
      </c>
      <c r="F16" s="26">
        <v>0.8</v>
      </c>
      <c r="G16" s="162"/>
      <c r="H16" s="162"/>
      <c r="I16" s="161"/>
      <c r="J16" s="26">
        <v>0.8</v>
      </c>
      <c r="K16" s="162"/>
      <c r="L16" s="87" t="s">
        <v>350</v>
      </c>
      <c r="M16" s="41" t="s">
        <v>354</v>
      </c>
      <c r="N16" s="13" t="s">
        <v>36</v>
      </c>
      <c r="O16" s="13">
        <v>2020</v>
      </c>
      <c r="P16" s="13" t="s">
        <v>70</v>
      </c>
      <c r="Q16" s="13">
        <v>4</v>
      </c>
      <c r="R16" s="13" t="s">
        <v>344</v>
      </c>
      <c r="S16" s="13">
        <v>2</v>
      </c>
      <c r="T16" s="162"/>
      <c r="U16" s="13" t="s">
        <v>36</v>
      </c>
      <c r="V16" s="13">
        <f t="shared" ca="1" si="2"/>
        <v>0</v>
      </c>
    </row>
    <row r="17" spans="1:22" ht="30" x14ac:dyDescent="0.25">
      <c r="A17" s="163"/>
      <c r="B17" s="162"/>
      <c r="C17" s="72" t="s">
        <v>348</v>
      </c>
      <c r="D17" s="86" t="str">
        <f t="shared" si="0"/>
        <v/>
      </c>
      <c r="E17" s="86" t="str">
        <f t="shared" si="1"/>
        <v xml:space="preserve"> - for 2019 - technology PEM (Lower band)</v>
      </c>
      <c r="F17" s="26">
        <v>0.56000000000000005</v>
      </c>
      <c r="G17" s="162"/>
      <c r="H17" s="162"/>
      <c r="I17" s="161"/>
      <c r="J17" s="26">
        <v>0.56000000000000005</v>
      </c>
      <c r="K17" s="162"/>
      <c r="L17" s="13" t="s">
        <v>355</v>
      </c>
      <c r="M17" s="64">
        <v>2019</v>
      </c>
      <c r="N17" s="13" t="s">
        <v>36</v>
      </c>
      <c r="O17" s="13">
        <v>2020</v>
      </c>
      <c r="P17" s="13" t="s">
        <v>70</v>
      </c>
      <c r="Q17" s="13">
        <v>4</v>
      </c>
      <c r="R17" s="13" t="s">
        <v>344</v>
      </c>
      <c r="S17" s="13">
        <v>0</v>
      </c>
      <c r="T17" s="162" t="s">
        <v>351</v>
      </c>
      <c r="U17" s="13" t="s">
        <v>36</v>
      </c>
      <c r="V17" s="13">
        <f t="shared" ca="1" si="2"/>
        <v>0</v>
      </c>
    </row>
    <row r="18" spans="1:22" ht="30" x14ac:dyDescent="0.25">
      <c r="A18" s="163"/>
      <c r="B18" s="162"/>
      <c r="C18" s="72" t="s">
        <v>352</v>
      </c>
      <c r="D18" s="86" t="str">
        <f t="shared" si="0"/>
        <v/>
      </c>
      <c r="E18" s="86" t="str">
        <f t="shared" si="1"/>
        <v xml:space="preserve"> - for 2019 - technology PEM (Upper band)</v>
      </c>
      <c r="F18" s="26">
        <v>0.6</v>
      </c>
      <c r="G18" s="162"/>
      <c r="H18" s="162"/>
      <c r="I18" s="161"/>
      <c r="J18" s="26">
        <v>0.6</v>
      </c>
      <c r="K18" s="162"/>
      <c r="L18" s="13" t="s">
        <v>355</v>
      </c>
      <c r="M18" s="64">
        <v>2019</v>
      </c>
      <c r="N18" s="13" t="s">
        <v>36</v>
      </c>
      <c r="O18" s="13">
        <v>2020</v>
      </c>
      <c r="P18" s="13" t="s">
        <v>70</v>
      </c>
      <c r="Q18" s="13">
        <v>4</v>
      </c>
      <c r="R18" s="13" t="s">
        <v>344</v>
      </c>
      <c r="S18" s="13">
        <v>0</v>
      </c>
      <c r="T18" s="162"/>
      <c r="U18" s="13" t="s">
        <v>36</v>
      </c>
      <c r="V18" s="13">
        <f t="shared" ca="1" si="2"/>
        <v>0</v>
      </c>
    </row>
    <row r="19" spans="1:22" ht="30" x14ac:dyDescent="0.25">
      <c r="A19" s="163"/>
      <c r="B19" s="162"/>
      <c r="C19" s="72" t="s">
        <v>348</v>
      </c>
      <c r="D19" s="86" t="str">
        <f t="shared" si="0"/>
        <v/>
      </c>
      <c r="E19" s="86" t="str">
        <f t="shared" si="1"/>
        <v xml:space="preserve"> - for 2030 - technology PEM (Lower band)</v>
      </c>
      <c r="F19" s="26">
        <v>0.63</v>
      </c>
      <c r="G19" s="162"/>
      <c r="H19" s="162"/>
      <c r="I19" s="161"/>
      <c r="J19" s="26">
        <v>0.63</v>
      </c>
      <c r="K19" s="162"/>
      <c r="L19" s="13" t="s">
        <v>355</v>
      </c>
      <c r="M19" s="41">
        <v>2030</v>
      </c>
      <c r="N19" s="13" t="s">
        <v>36</v>
      </c>
      <c r="O19" s="13">
        <v>2020</v>
      </c>
      <c r="P19" s="13" t="s">
        <v>70</v>
      </c>
      <c r="Q19" s="13">
        <v>4</v>
      </c>
      <c r="R19" s="13" t="s">
        <v>344</v>
      </c>
      <c r="S19" s="13">
        <v>2</v>
      </c>
      <c r="T19" s="162" t="s">
        <v>353</v>
      </c>
      <c r="U19" s="13" t="s">
        <v>36</v>
      </c>
      <c r="V19" s="13">
        <f t="shared" ca="1" si="2"/>
        <v>0</v>
      </c>
    </row>
    <row r="20" spans="1:22" ht="30" x14ac:dyDescent="0.25">
      <c r="A20" s="163"/>
      <c r="B20" s="162"/>
      <c r="C20" s="72" t="s">
        <v>352</v>
      </c>
      <c r="D20" s="86" t="str">
        <f t="shared" si="0"/>
        <v/>
      </c>
      <c r="E20" s="86" t="str">
        <f t="shared" si="1"/>
        <v xml:space="preserve"> - for 2030 - technology PEM (Upper band)</v>
      </c>
      <c r="F20" s="26">
        <v>0.68</v>
      </c>
      <c r="G20" s="162"/>
      <c r="H20" s="162"/>
      <c r="I20" s="161"/>
      <c r="J20" s="26">
        <v>0.68</v>
      </c>
      <c r="K20" s="162"/>
      <c r="L20" s="13" t="s">
        <v>355</v>
      </c>
      <c r="M20" s="41">
        <v>2030</v>
      </c>
      <c r="N20" s="13" t="s">
        <v>36</v>
      </c>
      <c r="O20" s="13">
        <v>2020</v>
      </c>
      <c r="P20" s="13" t="s">
        <v>70</v>
      </c>
      <c r="Q20" s="13">
        <v>4</v>
      </c>
      <c r="R20" s="13" t="s">
        <v>344</v>
      </c>
      <c r="S20" s="13">
        <v>2</v>
      </c>
      <c r="T20" s="162"/>
      <c r="U20" s="13" t="s">
        <v>36</v>
      </c>
      <c r="V20" s="13">
        <f t="shared" ca="1" si="2"/>
        <v>0</v>
      </c>
    </row>
    <row r="21" spans="1:22" ht="30" x14ac:dyDescent="0.25">
      <c r="A21" s="163"/>
      <c r="B21" s="162"/>
      <c r="C21" s="72" t="s">
        <v>348</v>
      </c>
      <c r="D21" s="86" t="str">
        <f t="shared" si="0"/>
        <v/>
      </c>
      <c r="E21" s="86" t="str">
        <f t="shared" si="1"/>
        <v xml:space="preserve"> - for Long term - technology PEM (Lower band)</v>
      </c>
      <c r="F21" s="26">
        <v>0.67</v>
      </c>
      <c r="G21" s="162"/>
      <c r="H21" s="162"/>
      <c r="I21" s="161"/>
      <c r="J21" s="26">
        <v>0.67</v>
      </c>
      <c r="K21" s="162"/>
      <c r="L21" s="13" t="s">
        <v>355</v>
      </c>
      <c r="M21" s="41" t="s">
        <v>354</v>
      </c>
      <c r="N21" s="13" t="s">
        <v>36</v>
      </c>
      <c r="O21" s="13">
        <v>2020</v>
      </c>
      <c r="P21" s="13" t="s">
        <v>70</v>
      </c>
      <c r="Q21" s="13">
        <v>4</v>
      </c>
      <c r="R21" s="13" t="s">
        <v>344</v>
      </c>
      <c r="S21" s="13">
        <v>2</v>
      </c>
      <c r="T21" s="162" t="s">
        <v>353</v>
      </c>
      <c r="U21" s="13" t="s">
        <v>36</v>
      </c>
      <c r="V21" s="13">
        <f t="shared" ca="1" si="2"/>
        <v>0</v>
      </c>
    </row>
    <row r="22" spans="1:22" ht="30" x14ac:dyDescent="0.25">
      <c r="A22" s="163"/>
      <c r="B22" s="162"/>
      <c r="C22" s="72" t="s">
        <v>352</v>
      </c>
      <c r="D22" s="86" t="str">
        <f t="shared" si="0"/>
        <v/>
      </c>
      <c r="E22" s="86" t="str">
        <f t="shared" si="1"/>
        <v xml:space="preserve"> - for Long term - technology PEM (Upper band)</v>
      </c>
      <c r="F22" s="26">
        <v>0.74</v>
      </c>
      <c r="G22" s="162"/>
      <c r="H22" s="162"/>
      <c r="I22" s="161"/>
      <c r="J22" s="26">
        <v>0.74</v>
      </c>
      <c r="K22" s="162"/>
      <c r="L22" s="13" t="s">
        <v>355</v>
      </c>
      <c r="M22" s="41" t="s">
        <v>354</v>
      </c>
      <c r="N22" s="13" t="s">
        <v>36</v>
      </c>
      <c r="O22" s="13">
        <v>2020</v>
      </c>
      <c r="P22" s="13" t="s">
        <v>70</v>
      </c>
      <c r="Q22" s="13">
        <v>4</v>
      </c>
      <c r="R22" s="13" t="s">
        <v>344</v>
      </c>
      <c r="S22" s="13">
        <v>2</v>
      </c>
      <c r="T22" s="162"/>
      <c r="U22" s="13" t="s">
        <v>36</v>
      </c>
      <c r="V22" s="13">
        <f t="shared" ca="1" si="2"/>
        <v>0</v>
      </c>
    </row>
    <row r="23" spans="1:22" ht="30" x14ac:dyDescent="0.25">
      <c r="A23" s="163"/>
      <c r="B23" s="162"/>
      <c r="C23" s="72" t="s">
        <v>348</v>
      </c>
      <c r="D23" s="86" t="str">
        <f t="shared" si="0"/>
        <v/>
      </c>
      <c r="E23" s="86" t="str">
        <f t="shared" si="1"/>
        <v xml:space="preserve"> - for 2019 - technology SOEC (Lower band)</v>
      </c>
      <c r="F23" s="26">
        <v>0.74</v>
      </c>
      <c r="G23" s="162"/>
      <c r="H23" s="162"/>
      <c r="I23" s="161"/>
      <c r="J23" s="26">
        <v>0.74</v>
      </c>
      <c r="K23" s="162"/>
      <c r="L23" s="13" t="s">
        <v>356</v>
      </c>
      <c r="M23" s="64">
        <v>2019</v>
      </c>
      <c r="N23" s="13" t="s">
        <v>36</v>
      </c>
      <c r="O23" s="13">
        <v>2020</v>
      </c>
      <c r="P23" s="13" t="s">
        <v>70</v>
      </c>
      <c r="Q23" s="13">
        <v>4</v>
      </c>
      <c r="R23" s="13" t="s">
        <v>344</v>
      </c>
      <c r="S23" s="13">
        <v>0</v>
      </c>
      <c r="T23" s="162" t="s">
        <v>351</v>
      </c>
      <c r="U23" s="13" t="s">
        <v>36</v>
      </c>
      <c r="V23" s="13">
        <f t="shared" ca="1" si="2"/>
        <v>0</v>
      </c>
    </row>
    <row r="24" spans="1:22" ht="30" x14ac:dyDescent="0.25">
      <c r="A24" s="163"/>
      <c r="B24" s="162"/>
      <c r="C24" s="72" t="s">
        <v>352</v>
      </c>
      <c r="D24" s="86" t="str">
        <f t="shared" si="0"/>
        <v/>
      </c>
      <c r="E24" s="86" t="str">
        <f t="shared" si="1"/>
        <v xml:space="preserve"> - for 2019 - technology SOEC (Upper band)</v>
      </c>
      <c r="F24" s="26">
        <v>0.81</v>
      </c>
      <c r="G24" s="162"/>
      <c r="H24" s="162"/>
      <c r="I24" s="161"/>
      <c r="J24" s="26">
        <v>0.81</v>
      </c>
      <c r="K24" s="162"/>
      <c r="L24" s="13" t="s">
        <v>356</v>
      </c>
      <c r="M24" s="64">
        <v>2019</v>
      </c>
      <c r="N24" s="13" t="s">
        <v>36</v>
      </c>
      <c r="O24" s="13">
        <v>2020</v>
      </c>
      <c r="P24" s="13" t="s">
        <v>70</v>
      </c>
      <c r="Q24" s="13">
        <v>4</v>
      </c>
      <c r="R24" s="13" t="s">
        <v>344</v>
      </c>
      <c r="S24" s="13">
        <v>0</v>
      </c>
      <c r="T24" s="162"/>
      <c r="U24" s="13" t="s">
        <v>36</v>
      </c>
      <c r="V24" s="13">
        <f t="shared" ca="1" si="2"/>
        <v>0</v>
      </c>
    </row>
    <row r="25" spans="1:22" ht="30" x14ac:dyDescent="0.25">
      <c r="A25" s="163"/>
      <c r="B25" s="162"/>
      <c r="C25" s="72" t="s">
        <v>348</v>
      </c>
      <c r="D25" s="86" t="str">
        <f t="shared" si="0"/>
        <v/>
      </c>
      <c r="E25" s="86" t="str">
        <f t="shared" si="1"/>
        <v xml:space="preserve"> - for 2030 - technology SOEC (Lower band)</v>
      </c>
      <c r="F25" s="26">
        <v>0.77</v>
      </c>
      <c r="G25" s="162"/>
      <c r="H25" s="162"/>
      <c r="I25" s="161"/>
      <c r="J25" s="26">
        <v>0.77</v>
      </c>
      <c r="K25" s="162"/>
      <c r="L25" s="13" t="s">
        <v>356</v>
      </c>
      <c r="M25" s="41">
        <v>2030</v>
      </c>
      <c r="N25" s="13" t="s">
        <v>36</v>
      </c>
      <c r="O25" s="13">
        <v>2020</v>
      </c>
      <c r="P25" s="13" t="s">
        <v>70</v>
      </c>
      <c r="Q25" s="13">
        <v>4</v>
      </c>
      <c r="R25" s="13" t="s">
        <v>344</v>
      </c>
      <c r="S25" s="13">
        <v>2</v>
      </c>
      <c r="T25" s="162" t="s">
        <v>353</v>
      </c>
      <c r="U25" s="13" t="s">
        <v>36</v>
      </c>
      <c r="V25" s="13">
        <f t="shared" ca="1" si="2"/>
        <v>0</v>
      </c>
    </row>
    <row r="26" spans="1:22" ht="30" x14ac:dyDescent="0.25">
      <c r="A26" s="163"/>
      <c r="B26" s="162"/>
      <c r="C26" s="72" t="s">
        <v>352</v>
      </c>
      <c r="D26" s="86" t="str">
        <f t="shared" si="0"/>
        <v/>
      </c>
      <c r="E26" s="86" t="str">
        <f t="shared" si="1"/>
        <v xml:space="preserve"> - for 2030 - technology SOEC (Upper band)</v>
      </c>
      <c r="F26" s="26">
        <v>0.84</v>
      </c>
      <c r="G26" s="162"/>
      <c r="H26" s="162"/>
      <c r="I26" s="161"/>
      <c r="J26" s="26">
        <v>0.84</v>
      </c>
      <c r="K26" s="162"/>
      <c r="L26" s="13" t="s">
        <v>356</v>
      </c>
      <c r="M26" s="41">
        <v>2030</v>
      </c>
      <c r="N26" s="13" t="s">
        <v>36</v>
      </c>
      <c r="O26" s="13">
        <v>2020</v>
      </c>
      <c r="P26" s="13" t="s">
        <v>70</v>
      </c>
      <c r="Q26" s="13">
        <v>4</v>
      </c>
      <c r="R26" s="13" t="s">
        <v>344</v>
      </c>
      <c r="S26" s="13">
        <v>2</v>
      </c>
      <c r="T26" s="162"/>
      <c r="U26" s="13" t="s">
        <v>36</v>
      </c>
      <c r="V26" s="13">
        <f t="shared" ca="1" si="2"/>
        <v>0</v>
      </c>
    </row>
    <row r="27" spans="1:22" ht="30" x14ac:dyDescent="0.25">
      <c r="A27" s="163"/>
      <c r="B27" s="162"/>
      <c r="C27" s="71" t="s">
        <v>348</v>
      </c>
      <c r="D27" s="86" t="str">
        <f t="shared" si="0"/>
        <v/>
      </c>
      <c r="E27" s="86" t="str">
        <f t="shared" si="1"/>
        <v xml:space="preserve"> - for Long term - technology SOEC (Lower band)</v>
      </c>
      <c r="F27" s="26">
        <v>0.77</v>
      </c>
      <c r="G27" s="162"/>
      <c r="H27" s="162"/>
      <c r="I27" s="161"/>
      <c r="J27" s="26">
        <v>0.77</v>
      </c>
      <c r="K27" s="162"/>
      <c r="L27" s="13" t="s">
        <v>356</v>
      </c>
      <c r="M27" s="41" t="s">
        <v>354</v>
      </c>
      <c r="N27" s="13" t="s">
        <v>36</v>
      </c>
      <c r="O27" s="13">
        <v>2020</v>
      </c>
      <c r="P27" s="13" t="s">
        <v>70</v>
      </c>
      <c r="Q27" s="13">
        <v>4</v>
      </c>
      <c r="R27" s="13" t="s">
        <v>344</v>
      </c>
      <c r="S27" s="13">
        <v>2</v>
      </c>
      <c r="T27" s="162" t="s">
        <v>353</v>
      </c>
      <c r="U27" s="13" t="s">
        <v>36</v>
      </c>
      <c r="V27" s="13">
        <f t="shared" ca="1" si="2"/>
        <v>0</v>
      </c>
    </row>
    <row r="28" spans="1:22" ht="30" x14ac:dyDescent="0.25">
      <c r="A28" s="163"/>
      <c r="B28" s="162"/>
      <c r="C28" s="71" t="s">
        <v>352</v>
      </c>
      <c r="D28" s="86" t="str">
        <f t="shared" si="0"/>
        <v/>
      </c>
      <c r="E28" s="86" t="str">
        <f t="shared" si="1"/>
        <v xml:space="preserve"> - for Long term - technology SOEC (Upper band)</v>
      </c>
      <c r="F28" s="26">
        <v>0.9</v>
      </c>
      <c r="G28" s="162"/>
      <c r="H28" s="162"/>
      <c r="I28" s="161"/>
      <c r="J28" s="26">
        <v>0.9</v>
      </c>
      <c r="K28" s="162"/>
      <c r="L28" s="13" t="s">
        <v>356</v>
      </c>
      <c r="M28" s="41" t="s">
        <v>354</v>
      </c>
      <c r="N28" s="13" t="s">
        <v>36</v>
      </c>
      <c r="O28" s="13">
        <v>2020</v>
      </c>
      <c r="P28" s="13" t="s">
        <v>70</v>
      </c>
      <c r="Q28" s="13">
        <v>4</v>
      </c>
      <c r="R28" s="13" t="s">
        <v>344</v>
      </c>
      <c r="S28" s="13">
        <v>2</v>
      </c>
      <c r="T28" s="162"/>
      <c r="U28" s="13" t="s">
        <v>36</v>
      </c>
      <c r="V28" s="13">
        <f t="shared" ca="1" si="2"/>
        <v>0</v>
      </c>
    </row>
    <row r="29" spans="1:22" ht="45" x14ac:dyDescent="0.25">
      <c r="A29" s="18" t="s">
        <v>357</v>
      </c>
      <c r="B29" s="162" t="s">
        <v>358</v>
      </c>
      <c r="C29" s="162"/>
      <c r="D29" s="86" t="str">
        <f t="shared" si="0"/>
        <v xml:space="preserve"> </v>
      </c>
      <c r="E29" s="86" t="str">
        <f t="shared" si="1"/>
        <v>ENTEC - The role of renewable H₂ import &amp; storage to scale up the EU deployment of renewable H₂ - for 2030 - technology Not specified</v>
      </c>
      <c r="F29" s="27">
        <f>33.33/48.89</f>
        <v>0.68173450603395369</v>
      </c>
      <c r="G29" s="13" t="s">
        <v>359</v>
      </c>
      <c r="H29" s="13" t="s">
        <v>54</v>
      </c>
      <c r="I29" s="82" t="s">
        <v>360</v>
      </c>
      <c r="J29" s="12" t="s">
        <v>361</v>
      </c>
      <c r="K29" s="18" t="s">
        <v>175</v>
      </c>
      <c r="L29" s="18" t="s">
        <v>54</v>
      </c>
      <c r="M29" s="41">
        <v>2030</v>
      </c>
      <c r="N29" s="13" t="s">
        <v>36</v>
      </c>
      <c r="O29" s="13">
        <v>2022</v>
      </c>
      <c r="P29" s="13" t="s">
        <v>36</v>
      </c>
      <c r="Q29" s="13">
        <v>4</v>
      </c>
      <c r="R29" s="13" t="s">
        <v>405</v>
      </c>
      <c r="S29" s="13">
        <v>4</v>
      </c>
      <c r="T29" s="13"/>
      <c r="U29" s="13" t="s">
        <v>36</v>
      </c>
      <c r="V29" s="13">
        <f t="shared" ca="1" si="2"/>
        <v>12</v>
      </c>
    </row>
    <row r="30" spans="1:22" ht="30" x14ac:dyDescent="0.25">
      <c r="A30" s="163" t="s">
        <v>81</v>
      </c>
      <c r="B30" s="162" t="s">
        <v>426</v>
      </c>
      <c r="C30" s="162"/>
      <c r="D30" s="86" t="str">
        <f t="shared" si="0"/>
        <v>JRC</v>
      </c>
      <c r="E30" s="86" t="str">
        <f t="shared" si="1"/>
        <v>Efficiency provided by a manufacturer - for 2024 - technology Not specified</v>
      </c>
      <c r="F30" s="36">
        <f>J30*0.85</f>
        <v>0.64174999999999993</v>
      </c>
      <c r="G30" s="120" t="s">
        <v>362</v>
      </c>
      <c r="H30" s="162" t="s">
        <v>363</v>
      </c>
      <c r="I30" s="161" t="s">
        <v>364</v>
      </c>
      <c r="J30" s="21">
        <v>0.755</v>
      </c>
      <c r="K30" s="124" t="s">
        <v>158</v>
      </c>
      <c r="L30" s="18" t="s">
        <v>54</v>
      </c>
      <c r="M30" s="64">
        <v>2024</v>
      </c>
      <c r="N30" s="13" t="s">
        <v>36</v>
      </c>
      <c r="O30" s="13">
        <v>2024</v>
      </c>
      <c r="P30" s="13" t="s">
        <v>36</v>
      </c>
      <c r="Q30" s="13">
        <v>4</v>
      </c>
      <c r="R30" s="13" t="s">
        <v>383</v>
      </c>
      <c r="S30" s="13">
        <v>3</v>
      </c>
      <c r="T30" s="13" t="s">
        <v>365</v>
      </c>
      <c r="U30" s="13" t="s">
        <v>36</v>
      </c>
      <c r="V30" s="13">
        <f t="shared" ca="1" si="2"/>
        <v>10</v>
      </c>
    </row>
    <row r="31" spans="1:22" ht="30" x14ac:dyDescent="0.25">
      <c r="A31" s="163"/>
      <c r="B31" s="162" t="s">
        <v>426</v>
      </c>
      <c r="C31" s="162"/>
      <c r="D31" s="86" t="str">
        <f t="shared" si="0"/>
        <v/>
      </c>
      <c r="E31" s="86" t="str">
        <f t="shared" si="1"/>
        <v>Efficiency provided by a manufacturer - for 2024 - technology Not specified</v>
      </c>
      <c r="F31" s="36">
        <v>0.69699999999999995</v>
      </c>
      <c r="G31" s="121"/>
      <c r="H31" s="162"/>
      <c r="I31" s="161"/>
      <c r="J31" s="26">
        <v>0.82</v>
      </c>
      <c r="K31" s="125"/>
      <c r="L31" s="18" t="s">
        <v>54</v>
      </c>
      <c r="M31" s="64">
        <v>2024</v>
      </c>
      <c r="N31" s="13" t="s">
        <v>36</v>
      </c>
      <c r="O31" s="13">
        <v>2024</v>
      </c>
      <c r="P31" s="13" t="s">
        <v>36</v>
      </c>
      <c r="Q31" s="13">
        <v>4</v>
      </c>
      <c r="R31" s="13" t="s">
        <v>383</v>
      </c>
      <c r="S31" s="13">
        <v>3</v>
      </c>
      <c r="T31" s="13" t="s">
        <v>365</v>
      </c>
      <c r="U31" s="13" t="s">
        <v>36</v>
      </c>
      <c r="V31" s="13">
        <f t="shared" ca="1" si="2"/>
        <v>10</v>
      </c>
    </row>
    <row r="32" spans="1:22" ht="30" x14ac:dyDescent="0.25">
      <c r="A32" s="163"/>
      <c r="B32" s="162" t="s">
        <v>427</v>
      </c>
      <c r="C32" s="162"/>
      <c r="D32" s="86" t="str">
        <f t="shared" si="0"/>
        <v/>
      </c>
      <c r="E32" s="86" t="str">
        <f t="shared" si="1"/>
        <v>Assumed electrolyser's efficiency at stack level - for 2024 - technology Not specified</v>
      </c>
      <c r="F32" s="26">
        <v>0.68</v>
      </c>
      <c r="G32" s="120"/>
      <c r="H32" s="162" t="s">
        <v>54</v>
      </c>
      <c r="I32" s="161"/>
      <c r="J32" s="26">
        <v>0.68</v>
      </c>
      <c r="K32" s="124" t="s">
        <v>175</v>
      </c>
      <c r="L32" s="18" t="s">
        <v>54</v>
      </c>
      <c r="M32" s="64">
        <v>2024</v>
      </c>
      <c r="N32" s="13" t="s">
        <v>36</v>
      </c>
      <c r="O32" s="13">
        <v>2024</v>
      </c>
      <c r="P32" s="13" t="s">
        <v>36</v>
      </c>
      <c r="Q32" s="13">
        <v>4</v>
      </c>
      <c r="R32" s="13" t="s">
        <v>383</v>
      </c>
      <c r="S32" s="13">
        <v>3</v>
      </c>
      <c r="T32" s="13" t="s">
        <v>365</v>
      </c>
      <c r="U32" s="13" t="s">
        <v>36</v>
      </c>
      <c r="V32" s="13">
        <f t="shared" ca="1" si="2"/>
        <v>10</v>
      </c>
    </row>
    <row r="33" spans="1:22" ht="30" x14ac:dyDescent="0.25">
      <c r="A33" s="163"/>
      <c r="B33" s="162" t="s">
        <v>428</v>
      </c>
      <c r="C33" s="162"/>
      <c r="D33" s="86" t="str">
        <f t="shared" si="0"/>
        <v/>
      </c>
      <c r="E33" s="86" t="str">
        <f t="shared" si="1"/>
        <v>Assumed electrolyser's efficiency at system level - for 2024 - technology Not specified</v>
      </c>
      <c r="F33" s="21">
        <v>0.60499999999999998</v>
      </c>
      <c r="G33" s="121"/>
      <c r="H33" s="162"/>
      <c r="I33" s="161"/>
      <c r="J33" s="21">
        <v>0.60499999999999998</v>
      </c>
      <c r="K33" s="125"/>
      <c r="L33" s="18" t="s">
        <v>54</v>
      </c>
      <c r="M33" s="64">
        <v>2024</v>
      </c>
      <c r="N33" s="13" t="s">
        <v>36</v>
      </c>
      <c r="O33" s="13">
        <v>2024</v>
      </c>
      <c r="P33" s="13" t="s">
        <v>36</v>
      </c>
      <c r="Q33" s="13">
        <v>4</v>
      </c>
      <c r="R33" s="13" t="s">
        <v>383</v>
      </c>
      <c r="S33" s="13">
        <v>3</v>
      </c>
      <c r="T33" s="13" t="s">
        <v>365</v>
      </c>
      <c r="U33" s="13" t="s">
        <v>36</v>
      </c>
      <c r="V33" s="13">
        <f t="shared" ca="1" si="2"/>
        <v>10</v>
      </c>
    </row>
    <row r="34" spans="1:22" ht="45" x14ac:dyDescent="0.25">
      <c r="A34" s="163" t="s">
        <v>366</v>
      </c>
      <c r="B34" s="162" t="s">
        <v>367</v>
      </c>
      <c r="C34" s="162"/>
      <c r="D34" s="86" t="str">
        <f t="shared" si="0"/>
        <v>Bloom Energy</v>
      </c>
      <c r="E34" s="86" t="str">
        <f t="shared" si="1"/>
        <v>Hydrogen Electrolyzers for a Clean Energy Future - for 2021 - technology PEM</v>
      </c>
      <c r="F34" s="28">
        <v>0.64096153846153847</v>
      </c>
      <c r="G34" s="162" t="s">
        <v>368</v>
      </c>
      <c r="H34" s="162" t="s">
        <v>369</v>
      </c>
      <c r="I34" s="161" t="s">
        <v>370</v>
      </c>
      <c r="J34" s="13" t="s">
        <v>371</v>
      </c>
      <c r="K34" s="124" t="s">
        <v>175</v>
      </c>
      <c r="L34" s="18" t="s">
        <v>355</v>
      </c>
      <c r="M34" s="64">
        <v>2021</v>
      </c>
      <c r="N34" s="13" t="s">
        <v>36</v>
      </c>
      <c r="O34" s="13">
        <v>2021</v>
      </c>
      <c r="P34" s="13" t="s">
        <v>36</v>
      </c>
      <c r="Q34" s="13">
        <v>2</v>
      </c>
      <c r="R34" s="13" t="s">
        <v>406</v>
      </c>
      <c r="S34" s="13">
        <v>2</v>
      </c>
      <c r="T34" s="13" t="s">
        <v>372</v>
      </c>
      <c r="U34" s="13" t="s">
        <v>36</v>
      </c>
      <c r="V34" s="13">
        <f t="shared" ca="1" si="2"/>
        <v>6</v>
      </c>
    </row>
    <row r="35" spans="1:22" ht="45" x14ac:dyDescent="0.25">
      <c r="A35" s="163"/>
      <c r="B35" s="162" t="s">
        <v>367</v>
      </c>
      <c r="C35" s="162"/>
      <c r="D35" s="86" t="str">
        <f t="shared" si="0"/>
        <v/>
      </c>
      <c r="E35" s="86" t="str">
        <f t="shared" si="1"/>
        <v>Hydrogen Electrolyzers for a Clean Energy Future - for 2021 - technology Alkaline</v>
      </c>
      <c r="F35" s="28">
        <v>0.61722222222222223</v>
      </c>
      <c r="G35" s="162"/>
      <c r="H35" s="162"/>
      <c r="I35" s="161"/>
      <c r="J35" s="13" t="s">
        <v>373</v>
      </c>
      <c r="K35" s="128"/>
      <c r="L35" s="13" t="s">
        <v>350</v>
      </c>
      <c r="M35" s="64">
        <v>2021</v>
      </c>
      <c r="N35" s="13" t="s">
        <v>36</v>
      </c>
      <c r="O35" s="13">
        <v>2021</v>
      </c>
      <c r="P35" s="13" t="s">
        <v>36</v>
      </c>
      <c r="Q35" s="13">
        <v>2</v>
      </c>
      <c r="R35" s="13" t="s">
        <v>406</v>
      </c>
      <c r="S35" s="13">
        <v>2</v>
      </c>
      <c r="T35" s="13" t="s">
        <v>372</v>
      </c>
      <c r="U35" s="13" t="s">
        <v>36</v>
      </c>
      <c r="V35" s="13">
        <f t="shared" ca="1" si="2"/>
        <v>6</v>
      </c>
    </row>
    <row r="36" spans="1:22" ht="45" x14ac:dyDescent="0.25">
      <c r="A36" s="163"/>
      <c r="B36" s="162" t="s">
        <v>367</v>
      </c>
      <c r="C36" s="162"/>
      <c r="D36" s="86" t="str">
        <f t="shared" si="0"/>
        <v/>
      </c>
      <c r="E36" s="86" t="str">
        <f t="shared" si="1"/>
        <v>Hydrogen Electrolyzers for a Clean Energy Future - for 2021 - technology Solid Oxide</v>
      </c>
      <c r="F36" s="28">
        <v>0.88879999999999992</v>
      </c>
      <c r="G36" s="162"/>
      <c r="H36" s="162"/>
      <c r="I36" s="161"/>
      <c r="J36" s="13" t="s">
        <v>374</v>
      </c>
      <c r="K36" s="125"/>
      <c r="L36" s="13" t="s">
        <v>375</v>
      </c>
      <c r="M36" s="64">
        <v>2021</v>
      </c>
      <c r="N36" s="13" t="s">
        <v>36</v>
      </c>
      <c r="O36" s="13">
        <v>2021</v>
      </c>
      <c r="P36" s="13" t="s">
        <v>36</v>
      </c>
      <c r="Q36" s="13">
        <v>2</v>
      </c>
      <c r="R36" s="13" t="s">
        <v>406</v>
      </c>
      <c r="S36" s="13">
        <v>2</v>
      </c>
      <c r="T36" s="13" t="s">
        <v>372</v>
      </c>
      <c r="U36" s="13" t="s">
        <v>70</v>
      </c>
      <c r="V36" s="13">
        <f t="shared" ca="1" si="2"/>
        <v>0</v>
      </c>
    </row>
  </sheetData>
  <autoFilter ref="A4:V36" xr:uid="{ABE7DFA8-2850-4A4F-9795-94F4D013DCAA}">
    <filterColumn colId="1" showButton="0"/>
  </autoFilter>
  <mergeCells count="50">
    <mergeCell ref="L3:N3"/>
    <mergeCell ref="O3:P3"/>
    <mergeCell ref="V2:V3"/>
    <mergeCell ref="K34:K36"/>
    <mergeCell ref="K5:K9"/>
    <mergeCell ref="T13:T14"/>
    <mergeCell ref="T11:T12"/>
    <mergeCell ref="T27:T28"/>
    <mergeCell ref="T25:T26"/>
    <mergeCell ref="T23:T24"/>
    <mergeCell ref="T21:T22"/>
    <mergeCell ref="T19:T20"/>
    <mergeCell ref="T17:T18"/>
    <mergeCell ref="T15:T16"/>
    <mergeCell ref="K10:K28"/>
    <mergeCell ref="G32:G33"/>
    <mergeCell ref="K30:K31"/>
    <mergeCell ref="B4:C4"/>
    <mergeCell ref="B5:C5"/>
    <mergeCell ref="B6:C6"/>
    <mergeCell ref="B7:C7"/>
    <mergeCell ref="B8:C8"/>
    <mergeCell ref="B9:C9"/>
    <mergeCell ref="I10:I28"/>
    <mergeCell ref="H11:H28"/>
    <mergeCell ref="G10:G28"/>
    <mergeCell ref="H30:H31"/>
    <mergeCell ref="G30:G31"/>
    <mergeCell ref="K32:K33"/>
    <mergeCell ref="H5:H9"/>
    <mergeCell ref="A5:A9"/>
    <mergeCell ref="I5:I9"/>
    <mergeCell ref="G5:G9"/>
    <mergeCell ref="B31:C31"/>
    <mergeCell ref="A34:A36"/>
    <mergeCell ref="A30:A33"/>
    <mergeCell ref="A10:A28"/>
    <mergeCell ref="B10:B28"/>
    <mergeCell ref="I34:I36"/>
    <mergeCell ref="B29:C29"/>
    <mergeCell ref="B30:C30"/>
    <mergeCell ref="B34:C34"/>
    <mergeCell ref="B35:C35"/>
    <mergeCell ref="B36:C36"/>
    <mergeCell ref="B33:C33"/>
    <mergeCell ref="B32:C32"/>
    <mergeCell ref="G34:G36"/>
    <mergeCell ref="H34:H36"/>
    <mergeCell ref="H32:H33"/>
    <mergeCell ref="I30:I33"/>
  </mergeCells>
  <phoneticPr fontId="5" type="noConversion"/>
  <conditionalFormatting sqref="N5:N36">
    <cfRule type="cellIs" dxfId="3" priority="1" operator="equal">
      <formula>"No"</formula>
    </cfRule>
  </conditionalFormatting>
  <conditionalFormatting sqref="N5:U36">
    <cfRule type="cellIs" dxfId="2" priority="7" operator="equal">
      <formula>"Yes"</formula>
    </cfRule>
  </conditionalFormatting>
  <conditionalFormatting sqref="O5:O36">
    <cfRule type="cellIs" dxfId="1" priority="8" operator="lessThan">
      <formula>2019</formula>
    </cfRule>
  </conditionalFormatting>
  <conditionalFormatting sqref="O5:U36">
    <cfRule type="cellIs" dxfId="0" priority="6" operator="equal">
      <formula>"No"</formula>
    </cfRule>
  </conditionalFormatting>
  <conditionalFormatting sqref="Q5:Q36 S5:S36">
    <cfRule type="colorScale" priority="236">
      <colorScale>
        <cfvo type="min"/>
        <cfvo type="percentile" val="50"/>
        <cfvo type="max"/>
        <color rgb="FFFFC7CE"/>
        <color rgb="FFFFEB9C"/>
        <color rgb="FFC6EFCE"/>
      </colorScale>
    </cfRule>
  </conditionalFormatting>
  <conditionalFormatting sqref="V5:V9">
    <cfRule type="colorScale" priority="255">
      <colorScale>
        <cfvo type="min"/>
        <cfvo type="percentile" val="50"/>
        <cfvo type="max"/>
        <color rgb="FFFFC7CE"/>
        <color rgb="FFFFEB9C"/>
        <color rgb="FFC6EFCE"/>
      </colorScale>
    </cfRule>
  </conditionalFormatting>
  <conditionalFormatting sqref="V10:V36">
    <cfRule type="colorScale" priority="2">
      <colorScale>
        <cfvo type="min"/>
        <cfvo type="percentile" val="50"/>
        <cfvo type="max"/>
        <color rgb="FFFFC7CE"/>
        <color rgb="FFFFEB9C"/>
        <color rgb="FFC6EFCE"/>
      </colorScale>
    </cfRule>
  </conditionalFormatting>
  <dataValidations count="2">
    <dataValidation type="list" allowBlank="1" showInputMessage="1" showErrorMessage="1" sqref="Q5:Q36 S5:S36" xr:uid="{1743DC68-0D78-4FD9-B310-391355431D23}">
      <formula1>"0,1,2,3,4"</formula1>
    </dataValidation>
    <dataValidation type="list" allowBlank="1" showInputMessage="1" showErrorMessage="1" sqref="N5:P36 U5:U36" xr:uid="{21C21158-4BF5-49F8-BF59-E7E2B01C9EFC}">
      <formula1>"Yes,No"</formula1>
    </dataValidation>
  </dataValidations>
  <hyperlinks>
    <hyperlink ref="I10" r:id="rId1" xr:uid="{D6AEB08A-9E01-48BF-AA5B-63BFB631E916}"/>
    <hyperlink ref="I29" r:id="rId2" xr:uid="{B9DF5F81-D59C-486A-AEFE-004F9118EE8F}"/>
    <hyperlink ref="I30" r:id="rId3" xr:uid="{8B08B558-624D-4DA2-BA29-C9273783CE3A}"/>
    <hyperlink ref="I34" r:id="rId4" location=":~:text=Running%20at%20high%20temperatures%20and,per%20kilogram%20of%20hydrogen%20produced." xr:uid="{0917A419-235F-469C-ADF4-09ED080899B1}"/>
    <hyperlink ref="I5" r:id="rId5" xr:uid="{7FD74FB3-9AAE-4758-AF10-2B381A94E435}"/>
  </hyperlinks>
  <pageMargins left="0.7" right="0.7" top="0.75" bottom="0.75" header="0.3" footer="0.3"/>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xcel" ma:contentTypeID="0x0101003684BEEBD30A3A4FAD1448D190AB298300E54F6D7DAD3CBF43953DB7321B27381E" ma:contentTypeVersion="3" ma:contentTypeDescription="Blank Excel " ma:contentTypeScope="" ma:versionID="93d3d35b8f354707999b3cd63251bf28">
  <xsd:schema xmlns:xsd="http://www.w3.org/2001/XMLSchema" xmlns:xs="http://www.w3.org/2001/XMLSchema" xmlns:p="http://schemas.microsoft.com/office/2006/metadata/properties" targetNamespace="http://schemas.microsoft.com/office/2006/metadata/properties" ma:root="true" ma:fieldsID="0c9261be7871f70c81a6dfa9d8ce30e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CA35FF-DB22-47D7-BC82-BDF4C8A25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A9796DB-5572-4282-96F2-5E5512A60829}">
  <ds:schemaRefs>
    <ds:schemaRef ds:uri="http://purl.org/dc/elements/1.1/"/>
    <ds:schemaRef ds:uri="http://purl.org/dc/dcmitype/"/>
    <ds:schemaRef ds:uri="http://schemas.openxmlformats.org/package/2006/metadata/core-properties"/>
    <ds:schemaRef ds:uri="http://schemas.microsoft.com/office/2006/documentManagement/types"/>
    <ds:schemaRef ds:uri="http://www.w3.org/XML/1998/namespace"/>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3EFCF6B8-38A2-4F7E-B0A5-F6B7F62656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Ons. wind DE capacity factor</vt:lpstr>
      <vt:lpstr>Commodity price - natural gas</vt:lpstr>
      <vt:lpstr>CAPEX H2 transmissions</vt:lpstr>
      <vt:lpstr>Electrolysers efficiency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Etienne Gontharet</dc:creator>
  <cp:keywords/>
  <dc:description/>
  <cp:lastModifiedBy>Stefano ASTORRI (ACER)</cp:lastModifiedBy>
  <cp:revision/>
  <dcterms:created xsi:type="dcterms:W3CDTF">2025-05-16T14:49:59Z</dcterms:created>
  <dcterms:modified xsi:type="dcterms:W3CDTF">2025-08-27T13:24:47Z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0x0101003684BEEBD30A3A4FAD1448D190AB298300E54F6D7DAD3CBF43953DB7321B27381E</vt:lpwstr>
  </property>
  <property fmtid="{D5CDD505-2E9C-101B-9397-08002B2CF9AE}" pid="3" name="MediaServiceImageTags">
    <vt:lpwstr/>
  </property>
</Properties>
</file>